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2 Podklady VM\"/>
    </mc:Choice>
  </mc:AlternateContent>
  <xr:revisionPtr revIDLastSave="0" documentId="13_ncr:1_{A676E01C-DCB7-4866-8CF7-B386ED956A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BZ 2019 VM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3" l="1"/>
  <c r="P19" i="3" l="1"/>
  <c r="P11" i="3" l="1"/>
  <c r="P10" i="3"/>
  <c r="P34" i="3" l="1"/>
  <c r="P31" i="3"/>
  <c r="O12" i="3" l="1"/>
  <c r="O29" i="3" s="1"/>
  <c r="O30" i="3" s="1"/>
  <c r="N12" i="3"/>
  <c r="N29" i="3" s="1"/>
  <c r="N30" i="3" s="1"/>
  <c r="M12" i="3"/>
  <c r="M29" i="3" s="1"/>
  <c r="L12" i="3"/>
  <c r="K12" i="3"/>
  <c r="K23" i="3" s="1"/>
  <c r="J12" i="3"/>
  <c r="J23" i="3" s="1"/>
  <c r="I12" i="3"/>
  <c r="I23" i="3" s="1"/>
  <c r="H12" i="3"/>
  <c r="H23" i="3" s="1"/>
  <c r="G12" i="3"/>
  <c r="G23" i="3" s="1"/>
  <c r="F12" i="3"/>
  <c r="E12" i="3"/>
  <c r="E23" i="3" s="1"/>
  <c r="M30" i="3" l="1"/>
  <c r="L29" i="3"/>
  <c r="L30" i="3" s="1"/>
  <c r="P12" i="3"/>
  <c r="I5" i="3"/>
  <c r="P29" i="3" l="1"/>
  <c r="P30" i="3"/>
  <c r="N24" i="3" l="1"/>
  <c r="K24" i="3"/>
  <c r="J24" i="3"/>
  <c r="I24" i="3"/>
  <c r="H24" i="3"/>
  <c r="G24" i="3"/>
  <c r="F24" i="3"/>
  <c r="E24" i="3"/>
  <c r="D24" i="3"/>
  <c r="P23" i="3" l="1"/>
  <c r="P25" i="3"/>
  <c r="P22" i="3"/>
  <c r="P17" i="3"/>
  <c r="O16" i="3"/>
  <c r="O18" i="3" s="1"/>
  <c r="N16" i="3"/>
  <c r="N18" i="3" s="1"/>
  <c r="M16" i="3"/>
  <c r="M18" i="3" s="1"/>
  <c r="L16" i="3"/>
  <c r="L18" i="3" s="1"/>
  <c r="K16" i="3"/>
  <c r="K18" i="3" s="1"/>
  <c r="J16" i="3"/>
  <c r="J18" i="3" s="1"/>
  <c r="I16" i="3"/>
  <c r="I18" i="3" s="1"/>
  <c r="H16" i="3"/>
  <c r="H18" i="3" s="1"/>
  <c r="G16" i="3"/>
  <c r="G18" i="3" s="1"/>
  <c r="F16" i="3"/>
  <c r="F18" i="3" s="1"/>
  <c r="E16" i="3"/>
  <c r="E18" i="3" s="1"/>
  <c r="D16" i="3"/>
  <c r="P15" i="3"/>
  <c r="O7" i="3"/>
  <c r="N7" i="3"/>
  <c r="M7" i="3"/>
  <c r="L7" i="3"/>
  <c r="K7" i="3"/>
  <c r="J7" i="3"/>
  <c r="I7" i="3"/>
  <c r="H7" i="3"/>
  <c r="G7" i="3"/>
  <c r="F7" i="3"/>
  <c r="E7" i="3"/>
  <c r="D7" i="3"/>
  <c r="U6" i="3"/>
  <c r="V6" i="3" s="1"/>
  <c r="P6" i="3"/>
  <c r="P5" i="3"/>
  <c r="I8" i="3" l="1"/>
  <c r="I26" i="3" s="1"/>
  <c r="K8" i="3"/>
  <c r="K26" i="3"/>
  <c r="J8" i="3"/>
  <c r="J26" i="3"/>
  <c r="D8" i="3"/>
  <c r="D26" i="3" s="1"/>
  <c r="D27" i="3" s="1"/>
  <c r="L8" i="3"/>
  <c r="L26" i="3"/>
  <c r="E8" i="3"/>
  <c r="E20" i="3" s="1"/>
  <c r="E21" i="3" s="1"/>
  <c r="E26" i="3"/>
  <c r="M8" i="3"/>
  <c r="M32" i="3" s="1"/>
  <c r="M33" i="3" s="1"/>
  <c r="F8" i="3"/>
  <c r="F26" i="3" s="1"/>
  <c r="F27" i="3" s="1"/>
  <c r="N8" i="3"/>
  <c r="N26" i="3"/>
  <c r="O8" i="3"/>
  <c r="O32" i="3" s="1"/>
  <c r="O33" i="3" s="1"/>
  <c r="O26" i="3"/>
  <c r="H8" i="3"/>
  <c r="H26" i="3" s="1"/>
  <c r="H27" i="3" s="1"/>
  <c r="J20" i="3"/>
  <c r="J9" i="3"/>
  <c r="L20" i="3"/>
  <c r="L21" i="3" s="1"/>
  <c r="L9" i="3"/>
  <c r="E9" i="3"/>
  <c r="F9" i="3"/>
  <c r="F20" i="3"/>
  <c r="F21" i="3" s="1"/>
  <c r="O20" i="3"/>
  <c r="O21" i="3" s="1"/>
  <c r="O9" i="3"/>
  <c r="K20" i="3"/>
  <c r="K9" i="3"/>
  <c r="I9" i="3"/>
  <c r="I20" i="3"/>
  <c r="I21" i="3" s="1"/>
  <c r="N20" i="3"/>
  <c r="L32" i="3"/>
  <c r="L33" i="3" s="1"/>
  <c r="D9" i="3"/>
  <c r="D20" i="3"/>
  <c r="P28" i="3"/>
  <c r="P16" i="3"/>
  <c r="P18" i="3" s="1"/>
  <c r="D18" i="3"/>
  <c r="S15" i="3"/>
  <c r="R15" i="3"/>
  <c r="P7" i="3"/>
  <c r="K27" i="3"/>
  <c r="E27" i="3"/>
  <c r="P24" i="3"/>
  <c r="G8" i="3"/>
  <c r="G26" i="3" s="1"/>
  <c r="J27" i="3"/>
  <c r="M26" i="3" l="1"/>
  <c r="H9" i="3"/>
  <c r="H20" i="3"/>
  <c r="H21" i="3" s="1"/>
  <c r="M20" i="3"/>
  <c r="M21" i="3" s="1"/>
  <c r="N9" i="3"/>
  <c r="N32" i="3"/>
  <c r="N33" i="3" s="1"/>
  <c r="M9" i="3"/>
  <c r="P9" i="3" s="1"/>
  <c r="N21" i="3"/>
  <c r="G9" i="3"/>
  <c r="G20" i="3"/>
  <c r="G21" i="3" s="1"/>
  <c r="D21" i="3"/>
  <c r="I27" i="3"/>
  <c r="P8" i="3"/>
  <c r="P20" i="3" s="1"/>
  <c r="P21" i="3" s="1"/>
  <c r="G27" i="3"/>
  <c r="P32" i="3" l="1"/>
  <c r="P33" i="3" s="1"/>
  <c r="P26" i="3"/>
  <c r="P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Malý</author>
    <author>František Eichler</author>
  </authors>
  <commentList>
    <comment ref="A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Spalné teplo</t>
        </r>
        <r>
          <rPr>
            <sz val="9"/>
            <color indexed="81"/>
            <rFont val="Tahoma"/>
            <family val="2"/>
            <charset val="238"/>
          </rPr>
          <t xml:space="preserve"> je takové množství tepla, které se uvolní dokonalým spálením jednotkového množství paliva. Předpokládá se, že voda, uvolněná spalováním, zkondenzuje a </t>
        </r>
        <r>
          <rPr>
            <u/>
            <sz val="9"/>
            <color indexed="81"/>
            <rFont val="Tahoma"/>
            <family val="2"/>
            <charset val="238"/>
          </rPr>
          <t>energii chemické reakce není třeba redukovat o její skupenské teplo</t>
        </r>
        <r>
          <rPr>
            <sz val="9"/>
            <color indexed="81"/>
            <rFont val="Tahoma"/>
            <family val="2"/>
            <charset val="238"/>
          </rPr>
          <t xml:space="preserve">. 
Tím se spalné teplo liší od </t>
        </r>
        <r>
          <rPr>
            <b/>
            <sz val="9"/>
            <color indexed="81"/>
            <rFont val="Tahoma"/>
            <family val="2"/>
            <charset val="238"/>
          </rPr>
          <t>výhřevnosti</t>
        </r>
        <r>
          <rPr>
            <sz val="9"/>
            <color indexed="81"/>
            <rFont val="Tahoma"/>
            <family val="2"/>
            <charset val="238"/>
          </rPr>
          <t xml:space="preserve">, kde se předpokládá na konci reakce voda v plynném skupenství. Proto je hodnota spalného tepla vždy větší nebo rovna hodnotě výhřevnosti. Rovnost nastává, když spalováním nevzniká voda.
Spalné teplo se obvykle značí </t>
        </r>
        <r>
          <rPr>
            <b/>
            <sz val="9"/>
            <color indexed="81"/>
            <rFont val="Tahoma"/>
            <family val="2"/>
            <charset val="238"/>
          </rPr>
          <t>H</t>
        </r>
        <r>
          <rPr>
            <sz val="9"/>
            <color indexed="81"/>
            <rFont val="Tahoma"/>
            <family val="2"/>
            <charset val="238"/>
          </rPr>
          <t>. Jednotky závisí na volbě jednotkových množství látky a energie. Obvykle je to v J/kg, ale používají se i jednotky J/mol nebo J/m³.</t>
        </r>
      </text>
    </comment>
    <comment ref="D12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Jiří Malý:</t>
        </r>
        <r>
          <rPr>
            <sz val="9"/>
            <color indexed="81"/>
            <rFont val="Tahoma"/>
            <family val="2"/>
            <charset val="238"/>
          </rPr>
          <t xml:space="preserve">
Posun spotřeby během odečtů stavů.</t>
        </r>
      </text>
    </comment>
    <comment ref="D13" authorId="0" shapeId="0" xr:uid="{3D16752F-3C9D-4B48-BE49-0AA3A453C3D7}">
      <text>
        <r>
          <rPr>
            <b/>
            <sz val="9"/>
            <color indexed="81"/>
            <rFont val="Tahoma"/>
            <charset val="1"/>
          </rPr>
          <t>Jiří Malý:</t>
        </r>
        <r>
          <rPr>
            <sz val="9"/>
            <color indexed="81"/>
            <rFont val="Tahoma"/>
            <charset val="1"/>
          </rPr>
          <t xml:space="preserve">
Skutená výroba dle paměti MT</t>
        </r>
      </text>
    </comment>
    <comment ref="I15" authorId="1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František Eichler:</t>
        </r>
        <r>
          <rPr>
            <sz val="9"/>
            <color indexed="81"/>
            <rFont val="Tahoma"/>
            <family val="2"/>
            <charset val="238"/>
          </rPr>
          <t xml:space="preserve">
Zkušební provoz</t>
        </r>
      </text>
    </comment>
  </commentList>
</comments>
</file>

<file path=xl/sharedStrings.xml><?xml version="1.0" encoding="utf-8"?>
<sst xmlns="http://schemas.openxmlformats.org/spreadsheetml/2006/main" count="62" uniqueCount="43">
  <si>
    <t>Velké Meziříčí</t>
  </si>
  <si>
    <t>K1</t>
  </si>
  <si>
    <t>K2</t>
  </si>
  <si>
    <t>TEDOM</t>
  </si>
  <si>
    <t>Celkem</t>
  </si>
  <si>
    <t>Provozní bilance zdrojů</t>
  </si>
  <si>
    <t>Leden</t>
  </si>
  <si>
    <t xml:space="preserve">Únor 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</si>
  <si>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</si>
  <si>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</si>
  <si>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</si>
  <si>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</si>
  <si>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</si>
  <si>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</si>
  <si>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</si>
  <si>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</si>
  <si>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</si>
  <si>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</si>
  <si>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Fakturační měsíční odběr plynu v DR (m3)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</si>
  <si>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Údaje z faktury</t>
    </r>
  </si>
  <si>
    <t>Fakturační měsíční odběr plynu v DR (kWh)</t>
  </si>
  <si>
    <r>
      <t>Spalné teplo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</si>
  <si>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Výhřevnost (kWh/m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</si>
  <si>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e</t>
    </r>
  </si>
  <si>
    <r>
      <rPr>
        <b/>
        <sz val="11"/>
        <color theme="0"/>
        <rFont val="Symbol"/>
        <family val="1"/>
        <charset val="2"/>
      </rPr>
      <t>b</t>
    </r>
    <r>
      <rPr>
        <b/>
        <vertAlign val="subscript"/>
        <sz val="11"/>
        <color theme="0"/>
        <rFont val="Calibri"/>
        <family val="2"/>
        <charset val="238"/>
        <scheme val="minor"/>
      </rPr>
      <t>t</t>
    </r>
  </si>
  <si>
    <t>Výroba</t>
  </si>
  <si>
    <t>Teplo (GJ)</t>
  </si>
  <si>
    <r>
      <rPr>
        <sz val="11"/>
        <color rgb="FFFF0000"/>
        <rFont val="Tahoma"/>
        <family val="2"/>
        <charset val="238"/>
      </rPr>
      <t>◄</t>
    </r>
    <r>
      <rPr>
        <sz val="11"/>
        <color rgb="FFFF0000"/>
        <rFont val="Calibri"/>
        <family val="2"/>
        <charset val="238"/>
      </rPr>
      <t xml:space="preserve"> Dle CR 4/2015, příloha č. 4, část A</t>
    </r>
  </si>
  <si>
    <t>Teplo (kWh)</t>
  </si>
  <si>
    <t>Elektřina (kWh)</t>
  </si>
  <si>
    <t>Celkem (kWh)</t>
  </si>
  <si>
    <t>Spotřeba</t>
  </si>
  <si>
    <r>
      <t>Plyn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</si>
  <si>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Plyn (kWh)</t>
  </si>
  <si>
    <r>
      <rPr>
        <sz val="11"/>
        <color rgb="FF0070C0"/>
        <rFont val="Tahoma"/>
        <family val="2"/>
        <charset val="238"/>
      </rPr>
      <t>◄</t>
    </r>
    <r>
      <rPr>
        <sz val="11"/>
        <color rgb="FF0070C0"/>
        <rFont val="Calibri"/>
        <family val="2"/>
        <charset val="238"/>
      </rPr>
      <t xml:space="preserve"> Údaje vychází z výhřevnosti, nikoli ze splaného tepla jako na faktuře</t>
    </r>
  </si>
  <si>
    <t>Účinnost</t>
  </si>
  <si>
    <t>Provozní hodiny</t>
  </si>
  <si>
    <t>Podpora formou ZB je pro max. 3 000 hodin/rok</t>
  </si>
  <si>
    <r>
      <t>Výhřevnost (GJ/1000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</si>
  <si>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Teplo kotel (GJ)</t>
  </si>
  <si>
    <t>Celková výroba v kotelně (GJ)</t>
  </si>
  <si>
    <t>Výroba tepla ÚT (GJ)</t>
  </si>
  <si>
    <t>Výroba tepla TUV (GJ)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</si>
</sst>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"/>
    <numFmt numFmtId="166" formatCode="0.0%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0"/>
      <name val="Symbol"/>
      <family val="1"/>
      <charset val="2"/>
    </font>
    <font>
      <b/>
      <vertAlign val="subscript"/>
      <sz val="11"/>
      <color theme="0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rgb="FF0070C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70C0"/>
      </bottom>
      <diagonal/>
    </border>
    <border>
      <left/>
      <right style="medium">
        <color indexed="64"/>
      </right>
      <top/>
      <bottom style="thin">
        <color rgb="FF0070C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3" fontId="0" fillId="0" borderId="0" xfId="0" applyNumberFormat="1"/>
    <xf numFmtId="0" fontId="7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/>
    <xf numFmtId="0" fontId="8" fillId="0" borderId="0" xfId="0" applyFont="1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3" fontId="0" fillId="2" borderId="0" xfId="0" applyNumberFormat="1" applyFill="1"/>
    <xf numFmtId="3" fontId="0" fillId="2" borderId="6" xfId="0" applyNumberFormat="1" applyFill="1" applyBorder="1"/>
    <xf numFmtId="0" fontId="9" fillId="0" borderId="0" xfId="0" applyFont="1" applyAlignment="1">
      <alignment horizontal="left" indent="1"/>
    </xf>
    <xf numFmtId="165" fontId="0" fillId="0" borderId="0" xfId="0" applyNumberFormat="1" applyAlignment="1">
      <alignment horizontal="right"/>
    </xf>
    <xf numFmtId="165" fontId="0" fillId="0" borderId="6" xfId="0" applyNumberFormat="1" applyBorder="1" applyAlignment="1">
      <alignment horizontal="right"/>
    </xf>
    <xf numFmtId="0" fontId="3" fillId="3" borderId="4" xfId="0" applyFont="1" applyFill="1" applyBorder="1" applyAlignment="1">
      <alignment vertical="center"/>
    </xf>
    <xf numFmtId="165" fontId="2" fillId="0" borderId="0" xfId="0" applyNumberFormat="1" applyFont="1" applyAlignment="1">
      <alignment horizontal="right" indent="1"/>
    </xf>
    <xf numFmtId="0" fontId="9" fillId="0" borderId="0" xfId="0" applyFont="1"/>
    <xf numFmtId="3" fontId="0" fillId="0" borderId="6" xfId="0" applyNumberFormat="1" applyBorder="1"/>
    <xf numFmtId="0" fontId="0" fillId="0" borderId="3" xfId="0" applyBorder="1" applyAlignment="1">
      <alignment horizontal="left" indent="1"/>
    </xf>
    <xf numFmtId="3" fontId="0" fillId="0" borderId="3" xfId="0" applyNumberFormat="1" applyBorder="1"/>
    <xf numFmtId="3" fontId="0" fillId="0" borderId="9" xfId="0" applyNumberFormat="1" applyBorder="1"/>
    <xf numFmtId="0" fontId="13" fillId="0" borderId="0" xfId="0" applyFont="1" applyAlignment="1">
      <alignment horizontal="left" indent="1"/>
    </xf>
    <xf numFmtId="0" fontId="0" fillId="0" borderId="7" xfId="0" applyBorder="1" applyAlignment="1">
      <alignment horizontal="left" indent="1"/>
    </xf>
    <xf numFmtId="166" fontId="0" fillId="0" borderId="0" xfId="0" applyNumberFormat="1"/>
    <xf numFmtId="166" fontId="0" fillId="0" borderId="6" xfId="0" applyNumberFormat="1" applyBorder="1"/>
    <xf numFmtId="0" fontId="0" fillId="0" borderId="12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3" fontId="0" fillId="2" borderId="13" xfId="0" applyNumberFormat="1" applyFill="1" applyBorder="1"/>
    <xf numFmtId="3" fontId="0" fillId="2" borderId="14" xfId="0" applyNumberFormat="1" applyFill="1" applyBorder="1"/>
    <xf numFmtId="3" fontId="15" fillId="2" borderId="0" xfId="0" applyNumberFormat="1" applyFont="1" applyFill="1"/>
    <xf numFmtId="3" fontId="15" fillId="0" borderId="3" xfId="0" applyNumberFormat="1" applyFont="1" applyBorder="1"/>
    <xf numFmtId="3" fontId="15" fillId="0" borderId="0" xfId="0" applyNumberFormat="1" applyFont="1"/>
    <xf numFmtId="0" fontId="0" fillId="0" borderId="1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3" fontId="15" fillId="2" borderId="13" xfId="0" applyNumberFormat="1" applyFont="1" applyFill="1" applyBorder="1"/>
    <xf numFmtId="3" fontId="0" fillId="2" borderId="17" xfId="0" applyNumberFormat="1" applyFill="1" applyBorder="1"/>
    <xf numFmtId="0" fontId="3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0" fillId="0" borderId="13" xfId="0" applyNumberFormat="1" applyBorder="1"/>
    <xf numFmtId="164" fontId="0" fillId="0" borderId="0" xfId="0" applyNumberFormat="1"/>
    <xf numFmtId="0" fontId="2" fillId="0" borderId="0" xfId="0" applyFont="1" applyAlignment="1">
      <alignment vertical="center"/>
    </xf>
    <xf numFmtId="0" fontId="2" fillId="0" borderId="0" xfId="0" applyFont="1"/>
    <xf numFmtId="3" fontId="15" fillId="2" borderId="6" xfId="0" applyNumberFormat="1" applyFont="1" applyFill="1" applyBorder="1"/>
    <xf numFmtId="1" fontId="0" fillId="0" borderId="0" xfId="0" applyNumberFormat="1" applyAlignment="1">
      <alignment horizontal="right"/>
    </xf>
    <xf numFmtId="1" fontId="0" fillId="0" borderId="0" xfId="0" applyNumberFormat="1"/>
    <xf numFmtId="3" fontId="0" fillId="2" borderId="0" xfId="0" applyNumberFormat="1" applyFill="1" applyAlignment="1">
      <alignment horizontal="right" indent="1"/>
    </xf>
    <xf numFmtId="165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3" fontId="0" fillId="0" borderId="15" xfId="0" applyNumberFormat="1" applyBorder="1" applyAlignment="1">
      <alignment horizontal="right" indent="1"/>
    </xf>
    <xf numFmtId="1" fontId="0" fillId="2" borderId="0" xfId="0" applyNumberFormat="1" applyFill="1" applyAlignment="1">
      <alignment horizontal="right"/>
    </xf>
    <xf numFmtId="1" fontId="15" fillId="4" borderId="0" xfId="0" applyNumberFormat="1" applyFont="1" applyFill="1" applyAlignment="1">
      <alignment horizontal="right"/>
    </xf>
    <xf numFmtId="3" fontId="15" fillId="4" borderId="0" xfId="0" applyNumberFormat="1" applyFont="1" applyFill="1"/>
    <xf numFmtId="0" fontId="0" fillId="0" borderId="2" xfId="0" applyBorder="1" applyAlignment="1">
      <alignment horizontal="left" indent="1"/>
    </xf>
    <xf numFmtId="0" fontId="0" fillId="0" borderId="0" xfId="0" applyAlignment="1">
      <alignment horizontal="right" indent="1"/>
    </xf>
    <xf numFmtId="0" fontId="0" fillId="0" borderId="6" xfId="0" applyBorder="1" applyAlignment="1">
      <alignment horizontal="center"/>
    </xf>
    <xf numFmtId="1" fontId="0" fillId="2" borderId="0" xfId="0" applyNumberFormat="1" applyFill="1"/>
    <xf numFmtId="3" fontId="0" fillId="2" borderId="13" xfId="0" applyNumberFormat="1" applyFill="1" applyBorder="1" applyAlignment="1">
      <alignment horizontal="right"/>
    </xf>
    <xf numFmtId="3" fontId="0" fillId="0" borderId="18" xfId="0" applyNumberFormat="1" applyBorder="1"/>
    <xf numFmtId="1" fontId="0" fillId="2" borderId="6" xfId="0" applyNumberFormat="1" applyFill="1" applyBorder="1" applyAlignment="1">
      <alignment horizontal="right"/>
    </xf>
    <xf numFmtId="1" fontId="0" fillId="2" borderId="0" xfId="0" applyNumberFormat="1" applyFill="1" applyAlignment="1">
      <alignment horizontal="right" indent="1"/>
    </xf>
    <xf numFmtId="3" fontId="0" fillId="0" borderId="19" xfId="0" applyNumberFormat="1" applyBorder="1"/>
    <xf numFmtId="166" fontId="0" fillId="0" borderId="19" xfId="0" applyNumberFormat="1" applyBorder="1"/>
    <xf numFmtId="3" fontId="15" fillId="2" borderId="14" xfId="0" applyNumberFormat="1" applyFont="1" applyFill="1" applyBorder="1"/>
    <xf numFmtId="3" fontId="15" fillId="0" borderId="6" xfId="0" applyNumberFormat="1" applyFont="1" applyBorder="1"/>
    <xf numFmtId="3" fontId="15" fillId="0" borderId="20" xfId="0" applyNumberFormat="1" applyFont="1" applyBorder="1"/>
    <xf numFmtId="164" fontId="0" fillId="2" borderId="0" xfId="0" applyNumberFormat="1" applyFill="1"/>
    <xf numFmtId="164" fontId="0" fillId="2" borderId="6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8"/>
  <sheetViews>
    <sheetView tabSelected="1" zoomScaleNormal="100" workbookViewId="0">
      <pane ySplit="4" topLeftCell="A5" activePane="bottomLeft" state="frozen"/>
      <selection pane="bottomLeft" activeCell="A5" sqref="A5"/>
    </sheetView>
  </sheetViews>
  <sheetFormatPr defaultColWidth="8.85546875" defaultRowHeight="15" x14ac:dyDescent="0.25"/>
  <cols>
    <col min="1" max="1" width="8.5703125" customWidth="1"/>
    <col min="2" max="2" width="16.42578125" customWidth="1"/>
    <col min="3" max="3" width="20" customWidth="1"/>
    <col min="4" max="15" width="10" customWidth="1"/>
    <col min="16" max="16" width="12.140625" customWidth="1"/>
    <col min="18" max="18" width="8.85546875" customWidth="1"/>
  </cols>
  <sheetData>
    <row r="1" spans="1:22" ht="15.75" x14ac:dyDescent="0.25">
      <c r="A1" s="5" t="s">
        <v>5</v>
      </c>
      <c r="D1" s="48"/>
      <c r="E1" s="4"/>
      <c r="F1" s="4"/>
      <c r="G1" s="4"/>
      <c r="M1" s="4"/>
    </row>
    <row r="2" spans="1:22" ht="15.75" x14ac:dyDescent="0.25">
      <c r="A2" s="7">
        <v>2019</v>
      </c>
      <c r="B2" s="8"/>
      <c r="E2" s="4"/>
      <c r="F2" s="48"/>
      <c r="G2" s="4"/>
      <c r="I2" s="4"/>
    </row>
    <row r="3" spans="1:22" ht="15.75" x14ac:dyDescent="0.25">
      <c r="A3" s="1" t="s">
        <v>0</v>
      </c>
      <c r="B3" s="9"/>
    </row>
    <row r="4" spans="1:22" s="40" customFormat="1" ht="18.75" customHeight="1" x14ac:dyDescent="0.25">
      <c r="A4" s="39"/>
      <c r="B4" s="39"/>
      <c r="C4" s="17"/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1" t="s">
        <v>17</v>
      </c>
      <c r="P4" s="10" t="s">
        <v>4</v>
      </c>
      <c r="T4" s="41">
        <v>0</v>
      </c>
      <c r="U4" s="41">
        <v>55</v>
      </c>
      <c r="V4" s="41"/>
    </row>
    <row r="5" spans="1:22" ht="15.75" thickBot="1" x14ac:dyDescent="0.3">
      <c r="A5" t="s">
        <v>18</v>
      </c>
      <c r="D5" s="12">
        <v>32790</v>
      </c>
      <c r="E5" s="12">
        <v>28372</v>
      </c>
      <c r="F5" s="12">
        <v>25531</v>
      </c>
      <c r="G5" s="12">
        <v>18373</v>
      </c>
      <c r="H5" s="12">
        <v>16791</v>
      </c>
      <c r="I5" s="12">
        <f>4647+64</f>
        <v>4711</v>
      </c>
      <c r="J5" s="12">
        <v>4653</v>
      </c>
      <c r="K5" s="12">
        <v>4721</v>
      </c>
      <c r="L5" s="32">
        <v>9308</v>
      </c>
      <c r="M5" s="12">
        <v>18232</v>
      </c>
      <c r="N5" s="12">
        <v>25717</v>
      </c>
      <c r="O5" s="13">
        <v>30344</v>
      </c>
      <c r="P5" s="49">
        <f>SUM(D5:O5)</f>
        <v>219543</v>
      </c>
      <c r="Q5" s="14" t="s">
        <v>19</v>
      </c>
      <c r="T5" s="42">
        <v>0</v>
      </c>
      <c r="U5" s="42">
        <v>19</v>
      </c>
      <c r="V5" s="42"/>
    </row>
    <row r="6" spans="1:22" x14ac:dyDescent="0.25">
      <c r="A6" t="s">
        <v>20</v>
      </c>
      <c r="D6" s="12">
        <v>349139</v>
      </c>
      <c r="E6" s="12">
        <v>303280.31</v>
      </c>
      <c r="F6" s="12">
        <v>272670</v>
      </c>
      <c r="G6" s="12">
        <v>196202.33</v>
      </c>
      <c r="H6" s="12">
        <v>178789.5</v>
      </c>
      <c r="I6" s="12">
        <v>50331.34</v>
      </c>
      <c r="J6" s="12">
        <v>49767.87</v>
      </c>
      <c r="K6" s="12">
        <v>50374.38</v>
      </c>
      <c r="L6" s="59">
        <v>99408</v>
      </c>
      <c r="M6" s="12">
        <v>194287.01</v>
      </c>
      <c r="N6" s="12">
        <v>273786.53999999998</v>
      </c>
      <c r="O6" s="13">
        <v>324184.67</v>
      </c>
      <c r="P6" s="49">
        <f>SUM(D6:O6)</f>
        <v>2342220.9500000002</v>
      </c>
      <c r="Q6" s="14" t="s">
        <v>19</v>
      </c>
      <c r="S6" s="4"/>
      <c r="T6" s="4">
        <v>0</v>
      </c>
      <c r="U6" s="4">
        <f>U4-U5</f>
        <v>36</v>
      </c>
      <c r="V6" s="43">
        <f>T6+U6</f>
        <v>36</v>
      </c>
    </row>
    <row r="7" spans="1:22" ht="17.25" x14ac:dyDescent="0.25">
      <c r="A7" t="s">
        <v>21</v>
      </c>
      <c r="D7" s="15">
        <f>IF(D5=0,"",D6/D5)</f>
        <v>10.647727965843245</v>
      </c>
      <c r="E7" s="15">
        <f t="shared" ref="E7:O7" si="0">IF(E5=0,"",E6/E5)</f>
        <v>10.689423022698435</v>
      </c>
      <c r="F7" s="15">
        <f t="shared" si="0"/>
        <v>10.679957698484195</v>
      </c>
      <c r="G7" s="15">
        <f t="shared" si="0"/>
        <v>10.678840145866216</v>
      </c>
      <c r="H7" s="15">
        <f t="shared" si="0"/>
        <v>10.647936394497052</v>
      </c>
      <c r="I7" s="15">
        <f t="shared" si="0"/>
        <v>10.683791127149224</v>
      </c>
      <c r="J7" s="15">
        <f t="shared" si="0"/>
        <v>10.695867182462928</v>
      </c>
      <c r="K7" s="15">
        <f t="shared" si="0"/>
        <v>10.670277483583986</v>
      </c>
      <c r="L7" s="15">
        <f t="shared" si="0"/>
        <v>10.679845294370434</v>
      </c>
      <c r="M7" s="15">
        <f t="shared" si="0"/>
        <v>10.656373957876262</v>
      </c>
      <c r="N7" s="15">
        <f t="shared" si="0"/>
        <v>10.646130575105961</v>
      </c>
      <c r="O7" s="16">
        <f t="shared" si="0"/>
        <v>10.683649815449511</v>
      </c>
      <c r="P7" s="50">
        <f>AVERAGE(D7:O7)</f>
        <v>10.671651721948955</v>
      </c>
    </row>
    <row r="8" spans="1:22" ht="17.25" x14ac:dyDescent="0.25">
      <c r="A8" t="s">
        <v>22</v>
      </c>
      <c r="D8" s="15">
        <f>IF(D7="","",0.901*D7)</f>
        <v>9.5936028972247644</v>
      </c>
      <c r="E8" s="15">
        <f t="shared" ref="E8:O8" si="1">IF(E7="","",0.901*E7)</f>
        <v>9.6311701434512909</v>
      </c>
      <c r="F8" s="15">
        <f t="shared" si="1"/>
        <v>9.6226418863342591</v>
      </c>
      <c r="G8" s="15">
        <f t="shared" si="1"/>
        <v>9.6216349714254612</v>
      </c>
      <c r="H8" s="15">
        <f t="shared" si="1"/>
        <v>9.5937906914418445</v>
      </c>
      <c r="I8" s="15">
        <f>IF(I7="","",0.901*I7)</f>
        <v>9.6260958055614516</v>
      </c>
      <c r="J8" s="15">
        <f t="shared" si="1"/>
        <v>9.636976331399099</v>
      </c>
      <c r="K8" s="15">
        <f t="shared" si="1"/>
        <v>9.6139200127091708</v>
      </c>
      <c r="L8" s="15">
        <f t="shared" si="1"/>
        <v>9.6225406102277606</v>
      </c>
      <c r="M8" s="15">
        <f t="shared" si="1"/>
        <v>9.601392936046512</v>
      </c>
      <c r="N8" s="15">
        <f t="shared" si="1"/>
        <v>9.5921636481704713</v>
      </c>
      <c r="O8" s="16">
        <f t="shared" si="1"/>
        <v>9.6259684837200101</v>
      </c>
      <c r="P8" s="50">
        <f>AVERAGE(D8:O8)</f>
        <v>9.6151582014760084</v>
      </c>
    </row>
    <row r="9" spans="1:22" ht="17.25" x14ac:dyDescent="0.25">
      <c r="A9" t="s">
        <v>38</v>
      </c>
      <c r="D9" s="15">
        <f>D8*3.6</f>
        <v>34.536970430009156</v>
      </c>
      <c r="E9" s="15">
        <f t="shared" ref="E9:N9" si="2">E8*3.6</f>
        <v>34.672212516424651</v>
      </c>
      <c r="F9" s="15">
        <f t="shared" si="2"/>
        <v>34.641510790803331</v>
      </c>
      <c r="G9" s="15">
        <f t="shared" si="2"/>
        <v>34.63788589713166</v>
      </c>
      <c r="H9" s="15">
        <f t="shared" si="2"/>
        <v>34.537646489190642</v>
      </c>
      <c r="I9" s="15">
        <f t="shared" si="2"/>
        <v>34.65394490002123</v>
      </c>
      <c r="J9" s="15">
        <f t="shared" si="2"/>
        <v>34.693114793036756</v>
      </c>
      <c r="K9" s="15">
        <f t="shared" si="2"/>
        <v>34.610112045753013</v>
      </c>
      <c r="L9" s="15">
        <f t="shared" si="2"/>
        <v>34.641146196819939</v>
      </c>
      <c r="M9" s="15">
        <f t="shared" si="2"/>
        <v>34.565014569767442</v>
      </c>
      <c r="N9" s="15">
        <f t="shared" si="2"/>
        <v>34.531789133413696</v>
      </c>
      <c r="O9" s="16">
        <f>O8*3.6</f>
        <v>34.653486541392034</v>
      </c>
      <c r="P9" s="50">
        <f>AVERAGE(D9:O9)</f>
        <v>34.614569525313627</v>
      </c>
    </row>
    <row r="10" spans="1:22" x14ac:dyDescent="0.25">
      <c r="A10" t="s">
        <v>41</v>
      </c>
      <c r="D10" s="53">
        <v>793</v>
      </c>
      <c r="E10" s="53">
        <v>577</v>
      </c>
      <c r="F10" s="53">
        <v>484</v>
      </c>
      <c r="G10" s="53">
        <v>284</v>
      </c>
      <c r="H10" s="53">
        <v>240</v>
      </c>
      <c r="I10" s="53">
        <v>0</v>
      </c>
      <c r="J10" s="53">
        <v>0</v>
      </c>
      <c r="K10" s="53">
        <v>0</v>
      </c>
      <c r="L10" s="53">
        <v>109</v>
      </c>
      <c r="M10" s="53">
        <v>298</v>
      </c>
      <c r="N10" s="53">
        <v>460</v>
      </c>
      <c r="O10" s="62">
        <v>648</v>
      </c>
      <c r="P10" s="63">
        <f>SUM(D10:O10)</f>
        <v>3893</v>
      </c>
    </row>
    <row r="11" spans="1:22" x14ac:dyDescent="0.25">
      <c r="A11" t="s">
        <v>42</v>
      </c>
      <c r="D11" s="53">
        <v>147.69999999999999</v>
      </c>
      <c r="E11" s="53">
        <v>129.5</v>
      </c>
      <c r="F11" s="53">
        <v>146</v>
      </c>
      <c r="G11" s="53">
        <v>131.6</v>
      </c>
      <c r="H11" s="53">
        <v>132.19999999999999</v>
      </c>
      <c r="I11" s="53">
        <v>115</v>
      </c>
      <c r="J11" s="53">
        <v>112</v>
      </c>
      <c r="K11" s="53">
        <v>113</v>
      </c>
      <c r="L11" s="53">
        <v>113</v>
      </c>
      <c r="M11" s="53">
        <v>122</v>
      </c>
      <c r="N11" s="53">
        <v>127.5</v>
      </c>
      <c r="O11" s="62">
        <v>142</v>
      </c>
      <c r="P11" s="63">
        <f>SUM(D11:O11)</f>
        <v>1531.5</v>
      </c>
    </row>
    <row r="12" spans="1:22" x14ac:dyDescent="0.25">
      <c r="A12" t="s">
        <v>40</v>
      </c>
      <c r="D12" s="54">
        <v>790</v>
      </c>
      <c r="E12" s="47">
        <f>E10+E11</f>
        <v>706.5</v>
      </c>
      <c r="F12" s="47">
        <f t="shared" ref="F12:O12" si="3">F10+F11</f>
        <v>630</v>
      </c>
      <c r="G12" s="47">
        <f t="shared" si="3"/>
        <v>415.6</v>
      </c>
      <c r="H12" s="47">
        <f t="shared" si="3"/>
        <v>372.2</v>
      </c>
      <c r="I12" s="47">
        <f t="shared" si="3"/>
        <v>115</v>
      </c>
      <c r="J12" s="47">
        <f t="shared" si="3"/>
        <v>112</v>
      </c>
      <c r="K12" s="47">
        <f t="shared" si="3"/>
        <v>113</v>
      </c>
      <c r="L12" s="47">
        <f t="shared" si="3"/>
        <v>222</v>
      </c>
      <c r="M12" s="47">
        <f t="shared" si="3"/>
        <v>420</v>
      </c>
      <c r="N12" s="47">
        <f t="shared" si="3"/>
        <v>587.5</v>
      </c>
      <c r="O12" s="47">
        <f t="shared" si="3"/>
        <v>790</v>
      </c>
      <c r="P12" s="52">
        <f>SUM(D12:O12)</f>
        <v>5273.7999999999993</v>
      </c>
    </row>
    <row r="13" spans="1:22" x14ac:dyDescent="0.25">
      <c r="D13" s="6">
        <v>836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58"/>
      <c r="P13" s="57"/>
    </row>
    <row r="14" spans="1:22" s="40" customFormat="1" ht="18" x14ac:dyDescent="0.25">
      <c r="A14" s="39"/>
      <c r="B14" s="39"/>
      <c r="C14" s="3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1"/>
      <c r="P14" s="10"/>
      <c r="R14" s="10" t="s">
        <v>23</v>
      </c>
      <c r="S14" s="10" t="s">
        <v>24</v>
      </c>
      <c r="T14"/>
    </row>
    <row r="15" spans="1:22" x14ac:dyDescent="0.25">
      <c r="A15" s="71" t="s">
        <v>3</v>
      </c>
      <c r="B15" s="73" t="s">
        <v>25</v>
      </c>
      <c r="C15" s="3" t="s">
        <v>26</v>
      </c>
      <c r="D15" s="12">
        <v>154</v>
      </c>
      <c r="E15" s="12">
        <v>209</v>
      </c>
      <c r="F15" s="69">
        <v>184.1</v>
      </c>
      <c r="G15" s="69">
        <v>176.1</v>
      </c>
      <c r="H15" s="69">
        <v>182.2</v>
      </c>
      <c r="I15" s="55">
        <v>1</v>
      </c>
      <c r="J15" s="69">
        <v>0.4</v>
      </c>
      <c r="K15" s="69">
        <v>0.4</v>
      </c>
      <c r="L15" s="69">
        <v>44.8</v>
      </c>
      <c r="M15" s="69">
        <v>176.4</v>
      </c>
      <c r="N15" s="69">
        <v>271.5</v>
      </c>
      <c r="O15" s="70">
        <v>213.2</v>
      </c>
      <c r="P15" s="49">
        <f>SUM(D15:O15)</f>
        <v>1613.1000000000001</v>
      </c>
      <c r="R15" s="18">
        <f>(3.6*P17/1000)/(P15+3.6*P17/1000)</f>
        <v>0.37192415712619031</v>
      </c>
      <c r="S15" s="18">
        <f>P15/(P15+3.6*P17/1000)</f>
        <v>0.62807584287380969</v>
      </c>
      <c r="T15" s="19" t="s">
        <v>27</v>
      </c>
    </row>
    <row r="16" spans="1:22" x14ac:dyDescent="0.25">
      <c r="A16" s="71"/>
      <c r="B16" s="73"/>
      <c r="C16" s="3" t="s">
        <v>28</v>
      </c>
      <c r="D16" s="4">
        <f t="shared" ref="D16:O16" si="4">D15/3.6*1000</f>
        <v>42777.777777777781</v>
      </c>
      <c r="E16" s="4">
        <f t="shared" si="4"/>
        <v>58055.555555555555</v>
      </c>
      <c r="F16" s="4">
        <f t="shared" si="4"/>
        <v>51138.888888888883</v>
      </c>
      <c r="G16" s="4">
        <f t="shared" si="4"/>
        <v>48916.666666666664</v>
      </c>
      <c r="H16" s="4">
        <f t="shared" si="4"/>
        <v>50611.111111111109</v>
      </c>
      <c r="I16" s="4">
        <f t="shared" si="4"/>
        <v>277.77777777777777</v>
      </c>
      <c r="J16" s="4">
        <f t="shared" si="4"/>
        <v>111.11111111111111</v>
      </c>
      <c r="K16" s="4">
        <f t="shared" si="4"/>
        <v>111.11111111111111</v>
      </c>
      <c r="L16" s="4">
        <f t="shared" si="4"/>
        <v>12444.444444444443</v>
      </c>
      <c r="M16" s="4">
        <f t="shared" si="4"/>
        <v>49000</v>
      </c>
      <c r="N16" s="4">
        <f t="shared" si="4"/>
        <v>75416.666666666672</v>
      </c>
      <c r="O16" s="20">
        <f t="shared" si="4"/>
        <v>59222.222222222212</v>
      </c>
      <c r="P16" s="51">
        <f t="shared" ref="P16:P17" si="5">SUM(D16:O16)</f>
        <v>448083.33333333337</v>
      </c>
      <c r="R16" s="44"/>
    </row>
    <row r="17" spans="1:19" x14ac:dyDescent="0.25">
      <c r="A17" s="71"/>
      <c r="B17" s="73"/>
      <c r="C17" s="3" t="s">
        <v>29</v>
      </c>
      <c r="D17" s="12">
        <v>23802</v>
      </c>
      <c r="E17" s="12">
        <v>36228</v>
      </c>
      <c r="F17" s="12">
        <v>31400</v>
      </c>
      <c r="G17" s="12">
        <v>29453</v>
      </c>
      <c r="H17" s="12">
        <v>28978</v>
      </c>
      <c r="I17" s="12">
        <v>195</v>
      </c>
      <c r="J17" s="12">
        <v>0</v>
      </c>
      <c r="K17" s="12">
        <v>0</v>
      </c>
      <c r="L17" s="12">
        <v>7034</v>
      </c>
      <c r="M17" s="12">
        <v>29367</v>
      </c>
      <c r="N17" s="12">
        <v>46526</v>
      </c>
      <c r="O17" s="13">
        <v>32356</v>
      </c>
      <c r="P17" s="12">
        <f t="shared" si="5"/>
        <v>265339</v>
      </c>
      <c r="R17" s="45"/>
    </row>
    <row r="18" spans="1:19" x14ac:dyDescent="0.25">
      <c r="A18" s="71"/>
      <c r="B18" s="74"/>
      <c r="C18" s="21" t="s">
        <v>30</v>
      </c>
      <c r="D18" s="22">
        <f>D16+D17</f>
        <v>66579.777777777781</v>
      </c>
      <c r="E18" s="22">
        <f t="shared" ref="E18:O18" si="6">E16+E17</f>
        <v>94283.555555555562</v>
      </c>
      <c r="F18" s="22">
        <f t="shared" si="6"/>
        <v>82538.888888888876</v>
      </c>
      <c r="G18" s="22">
        <f t="shared" si="6"/>
        <v>78369.666666666657</v>
      </c>
      <c r="H18" s="22">
        <f t="shared" si="6"/>
        <v>79589.111111111109</v>
      </c>
      <c r="I18" s="22">
        <f>I16+I17</f>
        <v>472.77777777777777</v>
      </c>
      <c r="J18" s="22">
        <f t="shared" si="6"/>
        <v>111.11111111111111</v>
      </c>
      <c r="K18" s="22">
        <f t="shared" si="6"/>
        <v>111.11111111111111</v>
      </c>
      <c r="L18" s="22">
        <f t="shared" si="6"/>
        <v>19478.444444444445</v>
      </c>
      <c r="M18" s="22">
        <f t="shared" si="6"/>
        <v>78367</v>
      </c>
      <c r="N18" s="22">
        <f t="shared" si="6"/>
        <v>121942.66666666667</v>
      </c>
      <c r="O18" s="23">
        <f t="shared" si="6"/>
        <v>91578.222222222219</v>
      </c>
      <c r="P18" s="22">
        <f>P16+P17</f>
        <v>713422.33333333337</v>
      </c>
    </row>
    <row r="19" spans="1:19" ht="17.25" x14ac:dyDescent="0.25">
      <c r="A19" s="71"/>
      <c r="B19" s="75" t="s">
        <v>31</v>
      </c>
      <c r="C19" s="3" t="s">
        <v>32</v>
      </c>
      <c r="D19" s="12">
        <v>7931</v>
      </c>
      <c r="E19" s="12">
        <v>11932</v>
      </c>
      <c r="F19" s="12">
        <v>10440</v>
      </c>
      <c r="G19" s="12">
        <v>10125</v>
      </c>
      <c r="H19" s="12">
        <v>10021</v>
      </c>
      <c r="I19" s="12">
        <v>64</v>
      </c>
      <c r="J19" s="12">
        <v>0</v>
      </c>
      <c r="K19" s="12">
        <v>0</v>
      </c>
      <c r="L19" s="32">
        <v>2467</v>
      </c>
      <c r="M19" s="12">
        <v>10057</v>
      </c>
      <c r="N19" s="12">
        <v>15130</v>
      </c>
      <c r="O19" s="38">
        <v>11421</v>
      </c>
      <c r="P19" s="12">
        <f>SUM(D19:O19)</f>
        <v>89588</v>
      </c>
      <c r="Q19" s="14" t="s">
        <v>19</v>
      </c>
    </row>
    <row r="20" spans="1:19" x14ac:dyDescent="0.25">
      <c r="A20" s="71"/>
      <c r="B20" s="73"/>
      <c r="C20" s="3" t="s">
        <v>33</v>
      </c>
      <c r="D20" s="4">
        <f t="shared" ref="D20:P20" si="7">IF(D8="","",D19*D$8)</f>
        <v>76086.864577889603</v>
      </c>
      <c r="E20" s="4">
        <f t="shared" si="7"/>
        <v>114919.12215166081</v>
      </c>
      <c r="F20" s="4">
        <f t="shared" si="7"/>
        <v>100460.38129332967</v>
      </c>
      <c r="G20" s="4">
        <f t="shared" si="7"/>
        <v>97419.054085682801</v>
      </c>
      <c r="H20" s="4">
        <f t="shared" si="7"/>
        <v>96139.37651893872</v>
      </c>
      <c r="I20" s="4">
        <f t="shared" si="7"/>
        <v>616.0701315559329</v>
      </c>
      <c r="J20" s="4">
        <f t="shared" si="7"/>
        <v>0</v>
      </c>
      <c r="K20" s="4">
        <f t="shared" si="7"/>
        <v>0</v>
      </c>
      <c r="L20" s="4">
        <f t="shared" si="7"/>
        <v>23738.807685431886</v>
      </c>
      <c r="M20" s="4">
        <f t="shared" si="7"/>
        <v>96561.208757819768</v>
      </c>
      <c r="N20" s="4">
        <f t="shared" si="7"/>
        <v>145129.43599681923</v>
      </c>
      <c r="O20" s="64">
        <f t="shared" si="7"/>
        <v>109938.18605256623</v>
      </c>
      <c r="P20" s="4">
        <f t="shared" si="7"/>
        <v>861402.79295383266</v>
      </c>
      <c r="Q20" s="24" t="s">
        <v>34</v>
      </c>
      <c r="R20" s="4"/>
    </row>
    <row r="21" spans="1:19" x14ac:dyDescent="0.25">
      <c r="A21" s="71"/>
      <c r="B21" s="25" t="s">
        <v>35</v>
      </c>
      <c r="C21" s="3"/>
      <c r="D21" s="26">
        <f t="shared" ref="D21:O21" si="8">IF(D20="",0,D18/D20)</f>
        <v>0.87504956535067258</v>
      </c>
      <c r="E21" s="26">
        <f t="shared" si="8"/>
        <v>0.82043400428283708</v>
      </c>
      <c r="F21" s="26">
        <f t="shared" si="8"/>
        <v>0.82160636687100908</v>
      </c>
      <c r="G21" s="26">
        <f t="shared" si="8"/>
        <v>0.80445932679389731</v>
      </c>
      <c r="H21" s="26">
        <f t="shared" si="8"/>
        <v>0.82785133410380152</v>
      </c>
      <c r="I21" s="26">
        <f t="shared" si="8"/>
        <v>0.76740902303401859</v>
      </c>
      <c r="J21" s="26">
        <v>0</v>
      </c>
      <c r="K21" s="26">
        <v>0</v>
      </c>
      <c r="L21" s="26">
        <f t="shared" si="8"/>
        <v>0.82053170919776419</v>
      </c>
      <c r="M21" s="26">
        <f t="shared" si="8"/>
        <v>0.81157849003887539</v>
      </c>
      <c r="N21" s="26">
        <f t="shared" si="8"/>
        <v>0.84023386316570037</v>
      </c>
      <c r="O21" s="65">
        <f t="shared" si="8"/>
        <v>0.83299739162909858</v>
      </c>
      <c r="P21" s="26">
        <f>IF(P20=0,0,P18/P20)</f>
        <v>0.82820991430378332</v>
      </c>
    </row>
    <row r="22" spans="1:19" ht="15.75" thickBot="1" x14ac:dyDescent="0.3">
      <c r="A22" s="72"/>
      <c r="B22" s="28" t="s">
        <v>36</v>
      </c>
      <c r="C22" s="29"/>
      <c r="D22" s="30">
        <v>189</v>
      </c>
      <c r="E22" s="30">
        <v>286</v>
      </c>
      <c r="F22" s="30">
        <v>264</v>
      </c>
      <c r="G22" s="30">
        <v>280</v>
      </c>
      <c r="H22" s="30">
        <v>276</v>
      </c>
      <c r="I22" s="30">
        <v>2</v>
      </c>
      <c r="J22" s="30">
        <v>0</v>
      </c>
      <c r="K22" s="30">
        <v>0</v>
      </c>
      <c r="L22" s="30">
        <v>71</v>
      </c>
      <c r="M22" s="30">
        <v>263</v>
      </c>
      <c r="N22" s="30">
        <v>369</v>
      </c>
      <c r="O22" s="31">
        <v>320</v>
      </c>
      <c r="P22" s="30">
        <f>SUM(D22:O22)</f>
        <v>2320</v>
      </c>
      <c r="Q22" s="4"/>
      <c r="S22" t="s">
        <v>37</v>
      </c>
    </row>
    <row r="23" spans="1:19" x14ac:dyDescent="0.25">
      <c r="A23" s="71" t="s">
        <v>1</v>
      </c>
      <c r="B23" s="73"/>
      <c r="C23" s="3" t="s">
        <v>39</v>
      </c>
      <c r="D23" s="34">
        <f>D12-D15</f>
        <v>636</v>
      </c>
      <c r="E23" s="34">
        <f t="shared" ref="E23:K23" si="9">E12-E15</f>
        <v>497.5</v>
      </c>
      <c r="F23" s="34">
        <v>447</v>
      </c>
      <c r="G23" s="34">
        <f t="shared" si="9"/>
        <v>239.50000000000003</v>
      </c>
      <c r="H23" s="34">
        <f t="shared" si="9"/>
        <v>190</v>
      </c>
      <c r="I23" s="34">
        <f t="shared" si="9"/>
        <v>114</v>
      </c>
      <c r="J23" s="34">
        <f t="shared" si="9"/>
        <v>111.6</v>
      </c>
      <c r="K23" s="34">
        <f t="shared" si="9"/>
        <v>112.6</v>
      </c>
      <c r="L23" s="34">
        <v>0</v>
      </c>
      <c r="M23" s="34">
        <v>0</v>
      </c>
      <c r="N23" s="34">
        <v>0</v>
      </c>
      <c r="O23" s="34">
        <v>0</v>
      </c>
      <c r="P23" s="61">
        <f>SUM(D23:O23)</f>
        <v>2348.1999999999998</v>
      </c>
      <c r="Q23" s="14"/>
    </row>
    <row r="24" spans="1:19" x14ac:dyDescent="0.25">
      <c r="A24" s="71"/>
      <c r="B24" s="74"/>
      <c r="C24" s="21" t="s">
        <v>28</v>
      </c>
      <c r="D24" s="33">
        <f>D23/3.6*1000</f>
        <v>176666.66666666666</v>
      </c>
      <c r="E24" s="33">
        <f t="shared" ref="E24:N24" si="10">E23/3.6*1000</f>
        <v>138194.44444444444</v>
      </c>
      <c r="F24" s="33">
        <f t="shared" si="10"/>
        <v>124166.66666666666</v>
      </c>
      <c r="G24" s="33">
        <f t="shared" si="10"/>
        <v>66527.777777777781</v>
      </c>
      <c r="H24" s="33">
        <f t="shared" si="10"/>
        <v>52777.777777777781</v>
      </c>
      <c r="I24" s="22">
        <f t="shared" si="10"/>
        <v>31666.666666666664</v>
      </c>
      <c r="J24" s="22">
        <f t="shared" si="10"/>
        <v>30999.999999999996</v>
      </c>
      <c r="K24" s="22">
        <f t="shared" si="10"/>
        <v>31277.777777777774</v>
      </c>
      <c r="L24" s="22">
        <v>0</v>
      </c>
      <c r="M24" s="22">
        <v>0</v>
      </c>
      <c r="N24" s="22">
        <f t="shared" si="10"/>
        <v>0</v>
      </c>
      <c r="O24" s="23">
        <v>0</v>
      </c>
      <c r="P24" s="22">
        <f t="shared" ref="P24:P28" si="11">SUM(D24:O24)</f>
        <v>652277.77777777764</v>
      </c>
      <c r="Q24" s="24" t="s">
        <v>34</v>
      </c>
    </row>
    <row r="25" spans="1:19" ht="17.25" x14ac:dyDescent="0.25">
      <c r="A25" s="71"/>
      <c r="B25" s="75" t="s">
        <v>31</v>
      </c>
      <c r="C25" s="3" t="s">
        <v>32</v>
      </c>
      <c r="D25" s="32">
        <v>24859</v>
      </c>
      <c r="E25" s="32">
        <v>16440</v>
      </c>
      <c r="F25" s="32">
        <v>15091</v>
      </c>
      <c r="G25" s="32">
        <v>8248</v>
      </c>
      <c r="H25" s="32">
        <v>6770</v>
      </c>
      <c r="I25" s="12">
        <v>4647</v>
      </c>
      <c r="J25" s="12">
        <v>4653</v>
      </c>
      <c r="K25" s="12">
        <v>4721</v>
      </c>
      <c r="L25" s="32">
        <v>0</v>
      </c>
      <c r="M25" s="12">
        <v>0</v>
      </c>
      <c r="N25" s="12">
        <v>0</v>
      </c>
      <c r="O25" s="13">
        <v>0</v>
      </c>
      <c r="P25" s="12">
        <f t="shared" si="11"/>
        <v>85429</v>
      </c>
    </row>
    <row r="26" spans="1:19" x14ac:dyDescent="0.25">
      <c r="A26" s="71"/>
      <c r="B26" s="74"/>
      <c r="C26" s="56" t="s">
        <v>33</v>
      </c>
      <c r="D26" s="34">
        <f>IF(D7="",0,D25*D$8)</f>
        <v>238487.37442211041</v>
      </c>
      <c r="E26" s="34">
        <f t="shared" ref="E26:O26" si="12">IF(E7="",0,E25*E$8)</f>
        <v>158336.43715833922</v>
      </c>
      <c r="F26" s="34">
        <f t="shared" si="12"/>
        <v>145215.28870667031</v>
      </c>
      <c r="G26" s="34">
        <f t="shared" si="12"/>
        <v>79359.245244317208</v>
      </c>
      <c r="H26" s="34">
        <f t="shared" si="12"/>
        <v>64949.96298106129</v>
      </c>
      <c r="I26" s="34">
        <f t="shared" si="12"/>
        <v>44732.467208444068</v>
      </c>
      <c r="J26" s="34">
        <f t="shared" si="12"/>
        <v>44840.850870000009</v>
      </c>
      <c r="K26" s="34">
        <f t="shared" si="12"/>
        <v>45387.316379999997</v>
      </c>
      <c r="L26" s="34">
        <f t="shared" si="12"/>
        <v>0</v>
      </c>
      <c r="M26" s="34">
        <f t="shared" si="12"/>
        <v>0</v>
      </c>
      <c r="N26" s="34">
        <f t="shared" si="12"/>
        <v>0</v>
      </c>
      <c r="O26" s="67">
        <f t="shared" si="12"/>
        <v>0</v>
      </c>
      <c r="P26" s="22">
        <f t="shared" si="11"/>
        <v>821308.94297094247</v>
      </c>
    </row>
    <row r="27" spans="1:19" x14ac:dyDescent="0.25">
      <c r="A27" s="71"/>
      <c r="B27" s="35" t="s">
        <v>35</v>
      </c>
      <c r="C27" s="3"/>
      <c r="D27" s="26">
        <f t="shared" ref="D27:I27" si="13">IF(D26="",0,D24/D26)</f>
        <v>0.7407799557303848</v>
      </c>
      <c r="E27" s="26">
        <f t="shared" si="13"/>
        <v>0.87278990815138502</v>
      </c>
      <c r="F27" s="26">
        <f t="shared" si="13"/>
        <v>0.85505230043290337</v>
      </c>
      <c r="G27" s="26">
        <f t="shared" si="13"/>
        <v>0.83831162422177563</v>
      </c>
      <c r="H27" s="26">
        <f t="shared" si="13"/>
        <v>0.81259134501996888</v>
      </c>
      <c r="I27" s="26">
        <f t="shared" si="13"/>
        <v>0.70791236528730983</v>
      </c>
      <c r="J27" s="26">
        <f t="shared" ref="J27:K27" si="14">IF(J26="",0,J24/J26)</f>
        <v>0.69133389305821591</v>
      </c>
      <c r="K27" s="26">
        <f t="shared" si="14"/>
        <v>0.68913036223398272</v>
      </c>
      <c r="L27" s="26">
        <v>0</v>
      </c>
      <c r="M27" s="26">
        <v>0</v>
      </c>
      <c r="N27" s="26">
        <v>0</v>
      </c>
      <c r="O27" s="27">
        <v>0</v>
      </c>
      <c r="P27" s="26">
        <f>P24/P26</f>
        <v>0.79419295669456136</v>
      </c>
    </row>
    <row r="28" spans="1:19" ht="15.75" thickBot="1" x14ac:dyDescent="0.3">
      <c r="A28" s="72"/>
      <c r="B28" s="28" t="s">
        <v>36</v>
      </c>
      <c r="C28" s="36"/>
      <c r="D28" s="37">
        <v>148</v>
      </c>
      <c r="E28" s="37">
        <v>94</v>
      </c>
      <c r="F28" s="37">
        <v>137</v>
      </c>
      <c r="G28" s="37">
        <v>83</v>
      </c>
      <c r="H28" s="37">
        <v>66</v>
      </c>
      <c r="I28" s="30">
        <v>44</v>
      </c>
      <c r="J28" s="30">
        <v>44</v>
      </c>
      <c r="K28" s="30">
        <v>41</v>
      </c>
      <c r="L28" s="30">
        <v>0</v>
      </c>
      <c r="M28" s="30">
        <v>0</v>
      </c>
      <c r="N28" s="30">
        <v>0</v>
      </c>
      <c r="O28" s="31">
        <v>0</v>
      </c>
      <c r="P28" s="60">
        <f t="shared" si="11"/>
        <v>657</v>
      </c>
      <c r="Q28" s="4"/>
      <c r="S28" t="s">
        <v>37</v>
      </c>
    </row>
    <row r="29" spans="1:19" x14ac:dyDescent="0.25">
      <c r="A29" s="71" t="s">
        <v>2</v>
      </c>
      <c r="B29" s="73"/>
      <c r="C29" s="3" t="s">
        <v>39</v>
      </c>
      <c r="D29" s="34"/>
      <c r="E29" s="34"/>
      <c r="F29" s="34"/>
      <c r="G29" s="34"/>
      <c r="H29" s="34"/>
      <c r="I29" s="34"/>
      <c r="J29" s="34"/>
      <c r="K29" s="34"/>
      <c r="L29" s="34">
        <f>L12-L15</f>
        <v>177.2</v>
      </c>
      <c r="M29" s="34">
        <f t="shared" ref="M29:O29" si="15">M12-M15</f>
        <v>243.6</v>
      </c>
      <c r="N29" s="34">
        <f t="shared" si="15"/>
        <v>316</v>
      </c>
      <c r="O29" s="68">
        <f t="shared" si="15"/>
        <v>576.79999999999995</v>
      </c>
      <c r="P29" s="34">
        <f>SUM(D29:O29)</f>
        <v>1313.6</v>
      </c>
      <c r="Q29" s="14"/>
    </row>
    <row r="30" spans="1:19" x14ac:dyDescent="0.25">
      <c r="A30" s="71"/>
      <c r="B30" s="74"/>
      <c r="C30" s="21" t="s">
        <v>28</v>
      </c>
      <c r="D30" s="33"/>
      <c r="E30" s="33"/>
      <c r="F30" s="33"/>
      <c r="G30" s="33"/>
      <c r="H30" s="33"/>
      <c r="I30" s="22"/>
      <c r="J30" s="22"/>
      <c r="K30" s="22"/>
      <c r="L30" s="22">
        <f t="shared" ref="L30:O30" si="16">L29/3.6*1000</f>
        <v>49222.222222222212</v>
      </c>
      <c r="M30" s="22">
        <f t="shared" si="16"/>
        <v>67666.666666666657</v>
      </c>
      <c r="N30" s="22">
        <f t="shared" si="16"/>
        <v>87777.777777777766</v>
      </c>
      <c r="O30" s="23">
        <f t="shared" si="16"/>
        <v>160222.22222222219</v>
      </c>
      <c r="P30" s="22">
        <f t="shared" ref="P30" si="17">SUM(D30:O30)</f>
        <v>364888.88888888882</v>
      </c>
      <c r="Q30" s="24" t="s">
        <v>34</v>
      </c>
    </row>
    <row r="31" spans="1:19" ht="17.25" x14ac:dyDescent="0.25">
      <c r="A31" s="71"/>
      <c r="B31" s="75" t="s">
        <v>31</v>
      </c>
      <c r="C31" s="3" t="s">
        <v>32</v>
      </c>
      <c r="D31" s="32"/>
      <c r="E31" s="32"/>
      <c r="F31" s="32"/>
      <c r="G31" s="32"/>
      <c r="H31" s="32"/>
      <c r="I31" s="32"/>
      <c r="J31" s="32"/>
      <c r="K31" s="32"/>
      <c r="L31" s="32">
        <v>6841</v>
      </c>
      <c r="M31" s="32">
        <v>8175</v>
      </c>
      <c r="N31" s="32">
        <v>10587</v>
      </c>
      <c r="O31" s="46">
        <v>18923</v>
      </c>
      <c r="P31" s="32">
        <f>SUM(D31:O31)</f>
        <v>44526</v>
      </c>
    </row>
    <row r="32" spans="1:19" x14ac:dyDescent="0.25">
      <c r="A32" s="71"/>
      <c r="B32" s="74"/>
      <c r="C32" s="56" t="s">
        <v>33</v>
      </c>
      <c r="D32" s="33"/>
      <c r="E32" s="33"/>
      <c r="F32" s="33"/>
      <c r="G32" s="33"/>
      <c r="H32" s="33"/>
      <c r="I32" s="33"/>
      <c r="J32" s="33"/>
      <c r="K32" s="33"/>
      <c r="L32" s="22">
        <f>IF(L15="","",L31*L$8)</f>
        <v>65827.800314568114</v>
      </c>
      <c r="M32" s="22">
        <f>IF(M15="","",M31*M$8)</f>
        <v>78491.38725218024</v>
      </c>
      <c r="N32" s="22">
        <f>IF(N15="","",N31*N$8)</f>
        <v>101552.23654318078</v>
      </c>
      <c r="O32" s="23">
        <f t="shared" ref="O32" si="18">IF(O15="","",O31*O$8)</f>
        <v>182152.20161743375</v>
      </c>
      <c r="P32" s="33">
        <f>SUM(D32:O32)</f>
        <v>428023.62572736287</v>
      </c>
    </row>
    <row r="33" spans="1:19" x14ac:dyDescent="0.25">
      <c r="A33" s="71"/>
      <c r="B33" s="35" t="s">
        <v>35</v>
      </c>
      <c r="C33" s="3"/>
      <c r="D33" s="26"/>
      <c r="E33" s="26"/>
      <c r="F33" s="26"/>
      <c r="G33" s="26"/>
      <c r="H33" s="26"/>
      <c r="I33" s="26"/>
      <c r="J33" s="26"/>
      <c r="K33" s="26"/>
      <c r="L33" s="26">
        <f t="shared" ref="L33:O33" si="19">IF(L32="",0,L30/L32)</f>
        <v>0.74774216952421879</v>
      </c>
      <c r="M33" s="26">
        <f t="shared" si="19"/>
        <v>0.86209033927842948</v>
      </c>
      <c r="N33" s="26">
        <f t="shared" si="19"/>
        <v>0.86436085275634467</v>
      </c>
      <c r="O33" s="27">
        <f t="shared" si="19"/>
        <v>0.87960628968256926</v>
      </c>
      <c r="P33" s="26">
        <f>P30/P32</f>
        <v>0.85249707482575077</v>
      </c>
    </row>
    <row r="34" spans="1:19" ht="15.75" thickBot="1" x14ac:dyDescent="0.3">
      <c r="A34" s="72"/>
      <c r="B34" s="28" t="s">
        <v>36</v>
      </c>
      <c r="C34" s="36"/>
      <c r="D34" s="37"/>
      <c r="E34" s="37"/>
      <c r="F34" s="37"/>
      <c r="G34" s="37"/>
      <c r="H34" s="37"/>
      <c r="I34" s="37"/>
      <c r="J34" s="37"/>
      <c r="K34" s="37"/>
      <c r="L34" s="30">
        <v>178</v>
      </c>
      <c r="M34" s="37">
        <v>213</v>
      </c>
      <c r="N34" s="37">
        <v>264</v>
      </c>
      <c r="O34" s="66">
        <v>494</v>
      </c>
      <c r="P34" s="37">
        <f>SUM(D34:O34)</f>
        <v>1149</v>
      </c>
      <c r="Q34" s="4"/>
      <c r="S34" t="s">
        <v>37</v>
      </c>
    </row>
    <row r="36" spans="1:19" x14ac:dyDescent="0.25">
      <c r="A36" s="9"/>
      <c r="B36" s="9"/>
      <c r="D36" s="4"/>
      <c r="G36" s="4"/>
      <c r="H36" s="4"/>
      <c r="J36" s="4"/>
      <c r="L36" s="4"/>
      <c r="M36" s="48"/>
    </row>
    <row r="37" spans="1:19" x14ac:dyDescent="0.25">
      <c r="D37" s="4"/>
      <c r="E37" s="4"/>
      <c r="G37" s="4"/>
      <c r="H37" s="4"/>
      <c r="J37" s="48"/>
      <c r="L37" s="48"/>
      <c r="M37" s="4"/>
    </row>
    <row r="38" spans="1:19" x14ac:dyDescent="0.25">
      <c r="G38" s="4"/>
      <c r="H38" s="4"/>
      <c r="J38" s="4"/>
      <c r="L38" s="4"/>
    </row>
  </sheetData>
  <mergeCells count="9">
    <mergeCell ref="A29:A34"/>
    <mergeCell ref="B29:B30"/>
    <mergeCell ref="B31:B32"/>
    <mergeCell ref="A15:A22"/>
    <mergeCell ref="A23:A28"/>
    <mergeCell ref="B15:B18"/>
    <mergeCell ref="B19:B20"/>
    <mergeCell ref="B23:B24"/>
    <mergeCell ref="B25:B26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PBZ 2019 VM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Eichler</dc:creator>
  <cp:lastModifiedBy>Jiří Malý</cp:lastModifiedBy>
  <cp:lastPrinted>2019-03-15T09:31:44Z</cp:lastPrinted>
  <dcterms:created xsi:type="dcterms:W3CDTF">2019-03-14T12:34:45Z</dcterms:created>
  <dcterms:modified xsi:type="dcterms:W3CDTF">2023-01-31T10:07:54Z</dcterms:modified>
</cp:coreProperties>
</file>