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/>
  <mc:AlternateContent xmlns:mc="http://schemas.openxmlformats.org/markup-compatibility/2006">
    <mc:Choice Requires="x15">
      <x15ac:absPath xmlns:x15ac="http://schemas.microsoft.com/office/spreadsheetml/2010/11/ac" url="C:\__SATT\__Rozvoj SZT\___Prodej DR + VM\__Nabídka prodeje\23-02 Podklady VM\"/>
    </mc:Choice>
  </mc:AlternateContent>
  <xr:revisionPtr revIDLastSave="0" documentId="13_ncr:1_{DB20757A-4C52-4ED4-93D4-A8D92599ED7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BZ 2020 VM" sheetId="3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5" i="3" l="1"/>
  <c r="P28" i="3"/>
  <c r="P34" i="3" l="1"/>
  <c r="P31" i="3"/>
  <c r="P6" i="3"/>
  <c r="M12" i="3" l="1"/>
  <c r="K12" i="3" l="1"/>
  <c r="J16" i="3" l="1"/>
  <c r="J12" i="3" l="1"/>
  <c r="I30" i="3" l="1"/>
  <c r="E16" i="3" l="1"/>
  <c r="E18" i="3" s="1"/>
  <c r="F16" i="3"/>
  <c r="F18" i="3" s="1"/>
  <c r="E12" i="3"/>
  <c r="F12" i="3"/>
  <c r="P22" i="3" l="1"/>
  <c r="P19" i="3"/>
  <c r="P17" i="3"/>
  <c r="P15" i="3"/>
  <c r="P11" i="3"/>
  <c r="P10" i="3"/>
  <c r="E29" i="3" l="1"/>
  <c r="D12" i="3" l="1"/>
  <c r="D29" i="3" s="1"/>
  <c r="D5" i="3" l="1"/>
  <c r="P5" i="3" s="1"/>
  <c r="J29" i="3" l="1"/>
  <c r="J30" i="3" s="1"/>
  <c r="D30" i="3" l="1"/>
  <c r="O12" i="3" l="1"/>
  <c r="N12" i="3"/>
  <c r="L12" i="3"/>
  <c r="I12" i="3"/>
  <c r="H12" i="3"/>
  <c r="G12" i="3"/>
  <c r="L29" i="3" l="1"/>
  <c r="M30" i="3"/>
  <c r="N29" i="3"/>
  <c r="N30" i="3" s="1"/>
  <c r="O29" i="3"/>
  <c r="O30" i="3" s="1"/>
  <c r="K29" i="3"/>
  <c r="K30" i="3" s="1"/>
  <c r="H29" i="3"/>
  <c r="H30" i="3" s="1"/>
  <c r="G29" i="3"/>
  <c r="G30" i="3" s="1"/>
  <c r="F29" i="3"/>
  <c r="F30" i="3" s="1"/>
  <c r="E30" i="3"/>
  <c r="L30" i="3"/>
  <c r="P12" i="3"/>
  <c r="P29" i="3" l="1"/>
  <c r="P30" i="3"/>
  <c r="E24" i="3" l="1"/>
  <c r="P23" i="3" l="1"/>
  <c r="O16" i="3"/>
  <c r="O18" i="3" s="1"/>
  <c r="N16" i="3"/>
  <c r="N18" i="3" s="1"/>
  <c r="M16" i="3"/>
  <c r="M18" i="3" s="1"/>
  <c r="L16" i="3"/>
  <c r="L18" i="3" s="1"/>
  <c r="K16" i="3"/>
  <c r="K18" i="3" s="1"/>
  <c r="J18" i="3"/>
  <c r="I16" i="3"/>
  <c r="I18" i="3" s="1"/>
  <c r="H16" i="3"/>
  <c r="H18" i="3" s="1"/>
  <c r="G16" i="3"/>
  <c r="G18" i="3" s="1"/>
  <c r="D16" i="3"/>
  <c r="O7" i="3"/>
  <c r="O8" i="3" s="1"/>
  <c r="O9" i="3" s="1"/>
  <c r="N7" i="3"/>
  <c r="N8" i="3" s="1"/>
  <c r="N9" i="3" s="1"/>
  <c r="M7" i="3"/>
  <c r="M8" i="3" s="1"/>
  <c r="M9" i="3" s="1"/>
  <c r="L7" i="3"/>
  <c r="L8" i="3" s="1"/>
  <c r="L9" i="3" s="1"/>
  <c r="K7" i="3"/>
  <c r="K8" i="3" s="1"/>
  <c r="K32" i="3" s="1"/>
  <c r="K33" i="3" s="1"/>
  <c r="J7" i="3"/>
  <c r="I7" i="3"/>
  <c r="I8" i="3" s="1"/>
  <c r="H7" i="3"/>
  <c r="H8" i="3" s="1"/>
  <c r="H32" i="3" s="1"/>
  <c r="H33" i="3" s="1"/>
  <c r="G7" i="3"/>
  <c r="F7" i="3"/>
  <c r="F8" i="3" s="1"/>
  <c r="E7" i="3"/>
  <c r="E8" i="3" s="1"/>
  <c r="E20" i="3" s="1"/>
  <c r="E21" i="3" s="1"/>
  <c r="D7" i="3"/>
  <c r="D8" i="3" s="1"/>
  <c r="D32" i="3" s="1"/>
  <c r="D33" i="3" s="1"/>
  <c r="U6" i="3"/>
  <c r="V6" i="3" s="1"/>
  <c r="F32" i="3" l="1"/>
  <c r="F33" i="3" s="1"/>
  <c r="F20" i="3"/>
  <c r="F21" i="3" s="1"/>
  <c r="I9" i="3"/>
  <c r="I32" i="3"/>
  <c r="I33" i="3" s="1"/>
  <c r="J8" i="3"/>
  <c r="J26" i="3" s="1"/>
  <c r="K20" i="3"/>
  <c r="K9" i="3"/>
  <c r="H20" i="3"/>
  <c r="H9" i="3"/>
  <c r="F9" i="3"/>
  <c r="F26" i="3"/>
  <c r="E9" i="3"/>
  <c r="E32" i="3"/>
  <c r="E33" i="3" s="1"/>
  <c r="D9" i="3"/>
  <c r="H21" i="3"/>
  <c r="L20" i="3"/>
  <c r="L21" i="3" s="1"/>
  <c r="O20" i="3"/>
  <c r="O21" i="3" s="1"/>
  <c r="O32" i="3"/>
  <c r="O33" i="3" s="1"/>
  <c r="I20" i="3"/>
  <c r="I21" i="3" s="1"/>
  <c r="M20" i="3"/>
  <c r="M21" i="3" s="1"/>
  <c r="N20" i="3"/>
  <c r="N32" i="3"/>
  <c r="N33" i="3" s="1"/>
  <c r="L32" i="3"/>
  <c r="L33" i="3" s="1"/>
  <c r="M32" i="3"/>
  <c r="M33" i="3" s="1"/>
  <c r="D20" i="3"/>
  <c r="P16" i="3"/>
  <c r="P18" i="3" s="1"/>
  <c r="D18" i="3"/>
  <c r="S15" i="3"/>
  <c r="R15" i="3"/>
  <c r="P7" i="3"/>
  <c r="P24" i="3"/>
  <c r="G8" i="3"/>
  <c r="G32" i="3" s="1"/>
  <c r="G33" i="3" s="1"/>
  <c r="J9" i="3" l="1"/>
  <c r="J20" i="3"/>
  <c r="J21" i="3" s="1"/>
  <c r="J32" i="3"/>
  <c r="J33" i="3" s="1"/>
  <c r="G9" i="3"/>
  <c r="P9" i="3" s="1"/>
  <c r="G26" i="3"/>
  <c r="N21" i="3"/>
  <c r="G20" i="3"/>
  <c r="G21" i="3" s="1"/>
  <c r="D21" i="3"/>
  <c r="P8" i="3"/>
  <c r="P20" i="3" s="1"/>
  <c r="P21" i="3" s="1"/>
  <c r="P32" i="3" l="1"/>
  <c r="P33" i="3" s="1"/>
  <c r="P26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Jiří Malý</author>
  </authors>
  <commentList>
    <comment ref="A7" authorId="0" shapeId="0" xr:uid="{00000000-0006-0000-0200-000001000000}">
      <text>
        <r>
          <rPr>
            <b/>
            <sz val="9"/>
            <color indexed="81"/>
            <rFont val="Tahoma"/>
            <family val="2"/>
            <charset val="238"/>
          </rPr>
          <t>Jiří Malý: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b/>
            <sz val="9"/>
            <color indexed="81"/>
            <rFont val="Tahoma"/>
            <family val="2"/>
            <charset val="238"/>
          </rPr>
          <t>Spalné teplo</t>
        </r>
        <r>
          <rPr>
            <sz val="9"/>
            <color indexed="81"/>
            <rFont val="Tahoma"/>
            <family val="2"/>
            <charset val="238"/>
          </rPr>
          <t xml:space="preserve"> je takové množství tepla, které se uvolní dokonalým spálením jednotkového množství paliva. Předpokládá se, že voda, uvolněná spalováním, zkondenzuje a </t>
        </r>
        <r>
          <rPr>
            <u/>
            <sz val="9"/>
            <color indexed="81"/>
            <rFont val="Tahoma"/>
            <family val="2"/>
            <charset val="238"/>
          </rPr>
          <t>energii chemické reakce není třeba redukovat o její skupenské teplo</t>
        </r>
        <r>
          <rPr>
            <sz val="9"/>
            <color indexed="81"/>
            <rFont val="Tahoma"/>
            <family val="2"/>
            <charset val="238"/>
          </rPr>
          <t xml:space="preserve">. 
Tím se spalné teplo liší od </t>
        </r>
        <r>
          <rPr>
            <b/>
            <sz val="9"/>
            <color indexed="81"/>
            <rFont val="Tahoma"/>
            <family val="2"/>
            <charset val="238"/>
          </rPr>
          <t>výhřevnosti</t>
        </r>
        <r>
          <rPr>
            <sz val="9"/>
            <color indexed="81"/>
            <rFont val="Tahoma"/>
            <family val="2"/>
            <charset val="238"/>
          </rPr>
          <t xml:space="preserve">, kde se předpokládá na konci reakce voda v plynném skupenství. Proto je hodnota spalného tepla vždy větší nebo rovna hodnotě výhřevnosti. Rovnost nastává, když spalováním nevzniká voda.
Spalné teplo se obvykle značí </t>
        </r>
        <r>
          <rPr>
            <b/>
            <sz val="9"/>
            <color indexed="81"/>
            <rFont val="Tahoma"/>
            <family val="2"/>
            <charset val="238"/>
          </rPr>
          <t>H</t>
        </r>
        <r>
          <rPr>
            <sz val="9"/>
            <color indexed="81"/>
            <rFont val="Tahoma"/>
            <family val="2"/>
            <charset val="238"/>
          </rPr>
          <t>. Jednotky závisí na volbě jednotkových množství látky a energie. Obvykle je to v J/kg, ale používají se i jednotky J/mol nebo J/m³.</t>
        </r>
      </text>
    </comment>
  </commentList>
</comments>
</file>

<file path=xl/sharedStrings.xml><?xml version="1.0" encoding="utf-8"?>
<sst xmlns="http://schemas.openxmlformats.org/spreadsheetml/2006/main" count="62" uniqueCount="43">
  <si>
    <t>Velké Meziříčí</t>
  </si>
  <si>
    <t>K1</t>
  </si>
  <si>
    <t>K2</t>
  </si>
  <si>
    <t>TEDOM</t>
  </si>
  <si>
    <t>Celkem</t>
  </si>
  <si>
    <t>Provozní bilance zdrojů</t>
  </si>
  <si>
    <t>Leden</t>
  </si>
  <si>
    <t xml:space="preserve">Únor 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</si>
  <si>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</si>
  <si>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</si>
  <si>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</si>
  <si>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</si>
  <si>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</si>
  <si>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</si>
  <si>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</si>
  <si>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</si>
  <si>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</si>
  <si>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</si>
  <si>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Fakturační měsíční odběr plynu v DR (m3)</t>
  </si>
  <si>
    <r>
      <rPr>
        <sz val="11"/>
        <color rgb="FFFF0000"/>
        <rFont val="Tahoma"/>
        <family val="2"/>
        <charset val="238"/>
      </rPr>
      <t>◄</t>
    </r>
    <r>
      <rPr>
        <sz val="11"/>
        <color rgb="FFFF0000"/>
        <rFont val="Calibri"/>
        <family val="2"/>
        <charset val="238"/>
      </rPr>
      <t xml:space="preserve"> Údaje z faktury</t>
    </r>
  </si>
  <si>
    <t>Fakturační měsíční odběr plynu v DR (kWh)</t>
  </si>
  <si>
    <r>
      <t>Spalné teplo (kWh/m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</si>
  <si>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r>
      <t>Výhřevnost (kWh/m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</si>
  <si>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r>
      <rPr>
        <b/>
        <sz val="11"/>
        <color theme="0"/>
        <rFont val="Symbol"/>
        <family val="1"/>
        <charset val="2"/>
      </rPr>
      <t>b</t>
    </r>
    <r>
      <rPr>
        <b/>
        <vertAlign val="subscript"/>
        <sz val="11"/>
        <color theme="0"/>
        <rFont val="Calibri"/>
        <family val="2"/>
        <charset val="238"/>
        <scheme val="minor"/>
      </rPr>
      <t>e</t>
    </r>
  </si>
  <si>
    <r>
      <rPr>
        <b/>
        <sz val="11"/>
        <color theme="0"/>
        <rFont val="Symbol"/>
        <family val="1"/>
        <charset val="2"/>
      </rPr>
      <t>b</t>
    </r>
    <r>
      <rPr>
        <b/>
        <vertAlign val="subscript"/>
        <sz val="11"/>
        <color theme="0"/>
        <rFont val="Calibri"/>
        <family val="2"/>
        <charset val="238"/>
        <scheme val="minor"/>
      </rPr>
      <t>t</t>
    </r>
  </si>
  <si>
    <t>Výroba</t>
  </si>
  <si>
    <t>Teplo (GJ)</t>
  </si>
  <si>
    <r>
      <rPr>
        <sz val="11"/>
        <color rgb="FFFF0000"/>
        <rFont val="Tahoma"/>
        <family val="2"/>
        <charset val="238"/>
      </rPr>
      <t>◄</t>
    </r>
    <r>
      <rPr>
        <sz val="11"/>
        <color rgb="FFFF0000"/>
        <rFont val="Calibri"/>
        <family val="2"/>
        <charset val="238"/>
      </rPr>
      <t xml:space="preserve"> Dle CR 4/2015, příloha č. 4, část A</t>
    </r>
  </si>
  <si>
    <t>Teplo (kWh)</t>
  </si>
  <si>
    <t>Elektřina (kWh)</t>
  </si>
  <si>
    <t>Celkem (kWh)</t>
  </si>
  <si>
    <t>Spotřeba</t>
  </si>
  <si>
    <r>
      <t>Plyn (m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</si>
  <si>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t>Plyn (kWh)</t>
  </si>
  <si>
    <r>
      <rPr>
        <sz val="11"/>
        <color rgb="FF0070C0"/>
        <rFont val="Tahoma"/>
        <family val="2"/>
        <charset val="238"/>
      </rPr>
      <t>◄</t>
    </r>
    <r>
      <rPr>
        <sz val="11"/>
        <color rgb="FF0070C0"/>
        <rFont val="Calibri"/>
        <family val="2"/>
        <charset val="238"/>
      </rPr>
      <t xml:space="preserve"> Údaje vychází z výhřevnosti, nikoli ze splaného tepla jako na faktuře</t>
    </r>
  </si>
  <si>
    <t>Účinnost</t>
  </si>
  <si>
    <t>Provozní hodiny</t>
  </si>
  <si>
    <t>Podpora formou ZB je pro max. 3 000 hodin/rok</t>
  </si>
  <si>
    <r>
      <t>Výhřevnost (GJ/1000 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</si>
  <si>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t>Teplo kotel (GJ)</t>
  </si>
  <si>
    <t>Celková výroba v kotelně (GJ)</t>
  </si>
  <si>
    <t>Výroba tepla ÚT (GJ)</t>
  </si>
  <si>
    <t>Výroba tepla TUV (GJ)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</si>
</sst>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"/>
    <numFmt numFmtId="165" formatCode="0.000"/>
    <numFmt numFmtId="166" formatCode="0.0%"/>
    <numFmt numFmtId="167" formatCode="0.0"/>
  </numFmts>
  <fonts count="19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2"/>
      <color rgb="FF0070C0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  <font>
      <sz val="11"/>
      <color rgb="FFFF0000"/>
      <name val="Calibri"/>
      <family val="2"/>
      <charset val="238"/>
    </font>
    <font>
      <sz val="11"/>
      <color rgb="FFFF0000"/>
      <name val="Tahoma"/>
      <family val="2"/>
      <charset val="238"/>
    </font>
    <font>
      <b/>
      <sz val="11"/>
      <color theme="0"/>
      <name val="Symbol"/>
      <family val="1"/>
      <charset val="2"/>
    </font>
    <font>
      <b/>
      <vertAlign val="subscript"/>
      <sz val="11"/>
      <color theme="0"/>
      <name val="Calibri"/>
      <family val="2"/>
      <charset val="238"/>
      <scheme val="minor"/>
    </font>
    <font>
      <sz val="11"/>
      <color rgb="FF0070C0"/>
      <name val="Calibri"/>
      <family val="2"/>
      <charset val="238"/>
    </font>
    <font>
      <sz val="11"/>
      <color rgb="FF0070C0"/>
      <name val="Tahoma"/>
      <family val="2"/>
      <charset val="238"/>
    </font>
    <font>
      <sz val="1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u/>
      <sz val="9"/>
      <color indexed="81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0070C0"/>
        <bgColor indexed="64"/>
      </patternFill>
    </fill>
  </fills>
  <borders count="2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70C0"/>
      </bottom>
      <diagonal/>
    </border>
    <border>
      <left/>
      <right style="medium">
        <color indexed="64"/>
      </right>
      <top/>
      <bottom style="thin">
        <color rgb="FF0070C0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/>
      <right style="thick">
        <color indexed="64"/>
      </right>
      <top/>
      <bottom/>
      <diagonal/>
    </border>
    <border>
      <left/>
      <right style="thin">
        <color theme="4" tint="0.59999389629810485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88">
    <xf numFmtId="0" fontId="0" fillId="0" borderId="0" xfId="0"/>
    <xf numFmtId="0" fontId="5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 indent="1"/>
    </xf>
    <xf numFmtId="3" fontId="0" fillId="0" borderId="0" xfId="0" applyNumberFormat="1"/>
    <xf numFmtId="0" fontId="7" fillId="0" borderId="0" xfId="0" applyFont="1"/>
    <xf numFmtId="0" fontId="0" fillId="0" borderId="0" xfId="0" applyAlignment="1">
      <alignment horizontal="right"/>
    </xf>
    <xf numFmtId="0" fontId="4" fillId="0" borderId="0" xfId="0" applyFont="1" applyAlignment="1">
      <alignment horizontal="left"/>
    </xf>
    <xf numFmtId="0" fontId="1" fillId="0" borderId="0" xfId="0" applyFont="1"/>
    <xf numFmtId="0" fontId="8" fillId="0" borderId="0" xfId="0" applyFont="1"/>
    <xf numFmtId="0" fontId="3" fillId="3" borderId="4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3" fontId="0" fillId="2" borderId="0" xfId="0" applyNumberFormat="1" applyFill="1"/>
    <xf numFmtId="3" fontId="0" fillId="2" borderId="6" xfId="0" applyNumberFormat="1" applyFill="1" applyBorder="1"/>
    <xf numFmtId="0" fontId="9" fillId="0" borderId="0" xfId="0" applyFont="1" applyAlignment="1">
      <alignment horizontal="left" indent="1"/>
    </xf>
    <xf numFmtId="165" fontId="0" fillId="0" borderId="0" xfId="0" applyNumberFormat="1" applyAlignment="1">
      <alignment horizontal="right"/>
    </xf>
    <xf numFmtId="165" fontId="0" fillId="0" borderId="6" xfId="0" applyNumberFormat="1" applyBorder="1" applyAlignment="1">
      <alignment horizontal="right"/>
    </xf>
    <xf numFmtId="0" fontId="3" fillId="3" borderId="4" xfId="0" applyFont="1" applyFill="1" applyBorder="1" applyAlignment="1">
      <alignment vertical="center"/>
    </xf>
    <xf numFmtId="165" fontId="2" fillId="0" borderId="0" xfId="0" applyNumberFormat="1" applyFont="1" applyAlignment="1">
      <alignment horizontal="right" indent="1"/>
    </xf>
    <xf numFmtId="0" fontId="9" fillId="0" borderId="0" xfId="0" applyFont="1"/>
    <xf numFmtId="3" fontId="0" fillId="0" borderId="6" xfId="0" applyNumberFormat="1" applyBorder="1"/>
    <xf numFmtId="0" fontId="0" fillId="0" borderId="3" xfId="0" applyBorder="1" applyAlignment="1">
      <alignment horizontal="left" indent="1"/>
    </xf>
    <xf numFmtId="3" fontId="0" fillId="0" borderId="3" xfId="0" applyNumberFormat="1" applyBorder="1"/>
    <xf numFmtId="3" fontId="0" fillId="0" borderId="9" xfId="0" applyNumberFormat="1" applyBorder="1"/>
    <xf numFmtId="0" fontId="13" fillId="0" borderId="0" xfId="0" applyFont="1" applyAlignment="1">
      <alignment horizontal="left" indent="1"/>
    </xf>
    <xf numFmtId="0" fontId="0" fillId="0" borderId="7" xfId="0" applyBorder="1" applyAlignment="1">
      <alignment horizontal="left" indent="1"/>
    </xf>
    <xf numFmtId="166" fontId="0" fillId="0" borderId="0" xfId="0" applyNumberFormat="1"/>
    <xf numFmtId="166" fontId="0" fillId="0" borderId="6" xfId="0" applyNumberFormat="1" applyBorder="1"/>
    <xf numFmtId="0" fontId="0" fillId="0" borderId="12" xfId="0" applyBorder="1" applyAlignment="1">
      <alignment horizontal="left" indent="1"/>
    </xf>
    <xf numFmtId="0" fontId="0" fillId="0" borderId="13" xfId="0" applyBorder="1" applyAlignment="1">
      <alignment horizontal="left" indent="1"/>
    </xf>
    <xf numFmtId="3" fontId="0" fillId="2" borderId="13" xfId="0" applyNumberFormat="1" applyFill="1" applyBorder="1"/>
    <xf numFmtId="3" fontId="0" fillId="2" borderId="14" xfId="0" applyNumberFormat="1" applyFill="1" applyBorder="1"/>
    <xf numFmtId="3" fontId="15" fillId="2" borderId="0" xfId="0" applyNumberFormat="1" applyFont="1" applyFill="1"/>
    <xf numFmtId="3" fontId="15" fillId="0" borderId="3" xfId="0" applyNumberFormat="1" applyFont="1" applyBorder="1"/>
    <xf numFmtId="3" fontId="15" fillId="0" borderId="0" xfId="0" applyNumberFormat="1" applyFont="1"/>
    <xf numFmtId="0" fontId="0" fillId="0" borderId="1" xfId="0" applyBorder="1" applyAlignment="1">
      <alignment horizontal="left" indent="1"/>
    </xf>
    <xf numFmtId="0" fontId="0" fillId="0" borderId="16" xfId="0" applyBorder="1" applyAlignment="1">
      <alignment horizontal="left" indent="1"/>
    </xf>
    <xf numFmtId="3" fontId="15" fillId="2" borderId="13" xfId="0" applyNumberFormat="1" applyFont="1" applyFill="1" applyBorder="1"/>
    <xf numFmtId="3" fontId="0" fillId="2" borderId="17" xfId="0" applyNumberFormat="1" applyFill="1" applyBorder="1"/>
    <xf numFmtId="0" fontId="3" fillId="3" borderId="0" xfId="0" applyFont="1" applyFill="1" applyAlignment="1">
      <alignment vertical="center"/>
    </xf>
    <xf numFmtId="0" fontId="0" fillId="0" borderId="0" xfId="0" applyAlignment="1">
      <alignment vertical="center"/>
    </xf>
    <xf numFmtId="3" fontId="0" fillId="0" borderId="0" xfId="0" applyNumberFormat="1" applyAlignment="1">
      <alignment vertical="center"/>
    </xf>
    <xf numFmtId="3" fontId="0" fillId="0" borderId="13" xfId="0" applyNumberFormat="1" applyBorder="1"/>
    <xf numFmtId="164" fontId="0" fillId="0" borderId="0" xfId="0" applyNumberFormat="1"/>
    <xf numFmtId="0" fontId="2" fillId="0" borderId="0" xfId="0" applyFont="1" applyAlignment="1">
      <alignment vertical="center"/>
    </xf>
    <xf numFmtId="0" fontId="2" fillId="0" borderId="0" xfId="0" applyFont="1"/>
    <xf numFmtId="3" fontId="15" fillId="2" borderId="6" xfId="0" applyNumberFormat="1" applyFont="1" applyFill="1" applyBorder="1"/>
    <xf numFmtId="1" fontId="0" fillId="0" borderId="0" xfId="0" applyNumberFormat="1"/>
    <xf numFmtId="3" fontId="0" fillId="2" borderId="0" xfId="0" applyNumberFormat="1" applyFill="1" applyAlignment="1">
      <alignment horizontal="right" indent="1"/>
    </xf>
    <xf numFmtId="165" fontId="0" fillId="0" borderId="0" xfId="0" applyNumberFormat="1" applyAlignment="1">
      <alignment horizontal="right" indent="1"/>
    </xf>
    <xf numFmtId="3" fontId="0" fillId="0" borderId="0" xfId="0" applyNumberFormat="1" applyAlignment="1">
      <alignment horizontal="right" indent="1"/>
    </xf>
    <xf numFmtId="3" fontId="0" fillId="0" borderId="15" xfId="0" applyNumberFormat="1" applyBorder="1" applyAlignment="1">
      <alignment horizontal="right" indent="1"/>
    </xf>
    <xf numFmtId="0" fontId="0" fillId="0" borderId="2" xfId="0" applyBorder="1" applyAlignment="1">
      <alignment horizontal="left" indent="1"/>
    </xf>
    <xf numFmtId="0" fontId="0" fillId="0" borderId="0" xfId="0" applyAlignment="1">
      <alignment horizontal="right" indent="1"/>
    </xf>
    <xf numFmtId="0" fontId="0" fillId="0" borderId="6" xfId="0" applyBorder="1" applyAlignment="1">
      <alignment horizontal="center"/>
    </xf>
    <xf numFmtId="3" fontId="0" fillId="2" borderId="13" xfId="0" applyNumberFormat="1" applyFill="1" applyBorder="1" applyAlignment="1">
      <alignment horizontal="right"/>
    </xf>
    <xf numFmtId="1" fontId="0" fillId="2" borderId="0" xfId="0" applyNumberFormat="1" applyFill="1" applyAlignment="1">
      <alignment horizontal="right" indent="1"/>
    </xf>
    <xf numFmtId="3" fontId="0" fillId="0" borderId="18" xfId="0" applyNumberFormat="1" applyBorder="1"/>
    <xf numFmtId="166" fontId="0" fillId="0" borderId="18" xfId="0" applyNumberFormat="1" applyBorder="1"/>
    <xf numFmtId="0" fontId="0" fillId="0" borderId="19" xfId="0" applyBorder="1"/>
    <xf numFmtId="164" fontId="0" fillId="2" borderId="0" xfId="0" applyNumberFormat="1" applyFill="1"/>
    <xf numFmtId="167" fontId="0" fillId="2" borderId="0" xfId="0" applyNumberFormat="1" applyFill="1" applyAlignment="1">
      <alignment horizontal="right"/>
    </xf>
    <xf numFmtId="167" fontId="0" fillId="0" borderId="0" xfId="0" applyNumberFormat="1"/>
    <xf numFmtId="164" fontId="15" fillId="0" borderId="0" xfId="0" applyNumberFormat="1" applyFont="1"/>
    <xf numFmtId="167" fontId="0" fillId="0" borderId="0" xfId="0" applyNumberFormat="1" applyAlignment="1">
      <alignment horizontal="right"/>
    </xf>
    <xf numFmtId="164" fontId="15" fillId="2" borderId="13" xfId="0" applyNumberFormat="1" applyFont="1" applyFill="1" applyBorder="1"/>
    <xf numFmtId="164" fontId="15" fillId="2" borderId="0" xfId="0" applyNumberFormat="1" applyFont="1" applyFill="1"/>
    <xf numFmtId="2" fontId="0" fillId="0" borderId="0" xfId="0" applyNumberFormat="1" applyAlignment="1">
      <alignment horizontal="right"/>
    </xf>
    <xf numFmtId="4" fontId="0" fillId="2" borderId="0" xfId="0" applyNumberFormat="1" applyFill="1"/>
    <xf numFmtId="3" fontId="0" fillId="0" borderId="20" xfId="0" applyNumberFormat="1" applyBorder="1"/>
    <xf numFmtId="3" fontId="15" fillId="0" borderId="21" xfId="0" applyNumberFormat="1" applyFont="1" applyBorder="1"/>
    <xf numFmtId="4" fontId="0" fillId="2" borderId="0" xfId="0" applyNumberFormat="1" applyFill="1" applyAlignment="1">
      <alignment horizontal="right" indent="1"/>
    </xf>
    <xf numFmtId="2" fontId="0" fillId="2" borderId="0" xfId="0" applyNumberFormat="1" applyFill="1" applyAlignment="1">
      <alignment horizontal="right"/>
    </xf>
    <xf numFmtId="2" fontId="0" fillId="0" borderId="0" xfId="0" applyNumberFormat="1"/>
    <xf numFmtId="4" fontId="15" fillId="0" borderId="0" xfId="0" applyNumberFormat="1" applyFont="1"/>
    <xf numFmtId="164" fontId="0" fillId="2" borderId="13" xfId="0" applyNumberFormat="1" applyFill="1" applyBorder="1"/>
    <xf numFmtId="4" fontId="0" fillId="2" borderId="0" xfId="0" applyNumberFormat="1" applyFill="1" applyAlignment="1">
      <alignment horizontal="right"/>
    </xf>
    <xf numFmtId="2" fontId="0" fillId="2" borderId="0" xfId="0" applyNumberFormat="1" applyFill="1"/>
    <xf numFmtId="164" fontId="0" fillId="2" borderId="6" xfId="0" applyNumberFormat="1" applyFill="1" applyBorder="1"/>
    <xf numFmtId="4" fontId="0" fillId="2" borderId="6" xfId="0" applyNumberFormat="1" applyFill="1" applyBorder="1"/>
    <xf numFmtId="167" fontId="0" fillId="2" borderId="6" xfId="0" applyNumberFormat="1" applyFill="1" applyBorder="1" applyAlignment="1">
      <alignment horizontal="right"/>
    </xf>
    <xf numFmtId="164" fontId="15" fillId="0" borderId="6" xfId="0" applyNumberFormat="1" applyFont="1" applyBorder="1"/>
    <xf numFmtId="164" fontId="15" fillId="2" borderId="14" xfId="0" applyNumberFormat="1" applyFont="1" applyFill="1" applyBorder="1"/>
    <xf numFmtId="0" fontId="0" fillId="0" borderId="1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7" xfId="0" applyBorder="1" applyAlignment="1">
      <alignment horizontal="left" vertical="center" indent="1"/>
    </xf>
    <xf numFmtId="0" fontId="0" fillId="0" borderId="8" xfId="0" applyBorder="1" applyAlignment="1">
      <alignment horizontal="left" vertical="center" indent="1"/>
    </xf>
    <xf numFmtId="0" fontId="0" fillId="0" borderId="10" xfId="0" applyBorder="1" applyAlignment="1">
      <alignment horizontal="left" vertical="center" inden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V39"/>
  <sheetViews>
    <sheetView tabSelected="1" zoomScaleNormal="100" workbookViewId="0">
      <pane ySplit="4" topLeftCell="A5" activePane="bottomLeft" state="frozen"/>
      <selection pane="bottomLeft" activeCell="A5" sqref="A5"/>
    </sheetView>
  </sheetViews>
  <sheetFormatPr defaultColWidth="8.85546875" defaultRowHeight="15" x14ac:dyDescent="0.25"/>
  <cols>
    <col min="1" max="1" width="8.5703125" customWidth="1"/>
    <col min="2" max="2" width="16.42578125" customWidth="1"/>
    <col min="3" max="3" width="20" customWidth="1"/>
    <col min="4" max="15" width="10" customWidth="1"/>
    <col min="16" max="16" width="12.7109375" bestFit="1" customWidth="1"/>
    <col min="18" max="18" width="8.85546875" customWidth="1"/>
  </cols>
  <sheetData>
    <row r="1" spans="1:22" ht="15.75" x14ac:dyDescent="0.25">
      <c r="A1" s="5" t="s">
        <v>5</v>
      </c>
      <c r="E1" s="4"/>
      <c r="F1" s="43"/>
      <c r="G1" s="4"/>
      <c r="H1" s="62"/>
      <c r="J1" s="73"/>
      <c r="M1" s="4"/>
    </row>
    <row r="2" spans="1:22" ht="15.75" x14ac:dyDescent="0.25">
      <c r="A2" s="7">
        <v>2020</v>
      </c>
      <c r="B2" s="8"/>
      <c r="E2" s="4"/>
      <c r="F2" s="47"/>
      <c r="G2" s="4"/>
      <c r="H2" s="4"/>
      <c r="I2" s="43"/>
    </row>
    <row r="3" spans="1:22" ht="15.75" x14ac:dyDescent="0.25">
      <c r="A3" s="1" t="s">
        <v>0</v>
      </c>
      <c r="B3" s="9"/>
    </row>
    <row r="4" spans="1:22" s="40" customFormat="1" ht="18.75" customHeight="1" x14ac:dyDescent="0.25">
      <c r="A4" s="39"/>
      <c r="B4" s="39"/>
      <c r="C4" s="17"/>
      <c r="D4" s="10" t="s">
        <v>6</v>
      </c>
      <c r="E4" s="10" t="s">
        <v>7</v>
      </c>
      <c r="F4" s="10" t="s">
        <v>8</v>
      </c>
      <c r="G4" s="10" t="s">
        <v>9</v>
      </c>
      <c r="H4" s="10" t="s">
        <v>10</v>
      </c>
      <c r="I4" s="10" t="s">
        <v>11</v>
      </c>
      <c r="J4" s="10" t="s">
        <v>12</v>
      </c>
      <c r="K4" s="10" t="s">
        <v>13</v>
      </c>
      <c r="L4" s="10" t="s">
        <v>14</v>
      </c>
      <c r="M4" s="10" t="s">
        <v>15</v>
      </c>
      <c r="N4" s="10" t="s">
        <v>16</v>
      </c>
      <c r="O4" s="11" t="s">
        <v>17</v>
      </c>
      <c r="P4" s="10" t="s">
        <v>4</v>
      </c>
      <c r="T4" s="41">
        <v>0</v>
      </c>
      <c r="U4" s="41">
        <v>55</v>
      </c>
      <c r="V4" s="41"/>
    </row>
    <row r="5" spans="1:22" ht="15.75" thickBot="1" x14ac:dyDescent="0.3">
      <c r="A5" t="s">
        <v>18</v>
      </c>
      <c r="D5" s="12">
        <f>11489+21389</f>
        <v>32878</v>
      </c>
      <c r="E5" s="12">
        <v>26694</v>
      </c>
      <c r="F5" s="12">
        <v>25507</v>
      </c>
      <c r="G5" s="12">
        <v>15810</v>
      </c>
      <c r="H5" s="12">
        <v>12205</v>
      </c>
      <c r="I5" s="12">
        <v>6154</v>
      </c>
      <c r="J5" s="12">
        <v>4076</v>
      </c>
      <c r="K5" s="12">
        <v>3577</v>
      </c>
      <c r="L5" s="32">
        <v>6785</v>
      </c>
      <c r="M5" s="12">
        <v>19167</v>
      </c>
      <c r="N5" s="12">
        <v>25498</v>
      </c>
      <c r="O5" s="13">
        <v>31031</v>
      </c>
      <c r="P5" s="48">
        <f>SUM(D5:O5)</f>
        <v>209382</v>
      </c>
      <c r="Q5" s="14" t="s">
        <v>19</v>
      </c>
      <c r="T5" s="42">
        <v>0</v>
      </c>
      <c r="U5" s="42">
        <v>19</v>
      </c>
      <c r="V5" s="42"/>
    </row>
    <row r="6" spans="1:22" x14ac:dyDescent="0.25">
      <c r="A6" t="s">
        <v>20</v>
      </c>
      <c r="D6" s="68">
        <v>350374.35</v>
      </c>
      <c r="E6" s="68">
        <v>284670.33</v>
      </c>
      <c r="F6" s="68">
        <v>271720.13</v>
      </c>
      <c r="G6" s="68">
        <v>169093.27</v>
      </c>
      <c r="H6" s="68">
        <v>130684.79</v>
      </c>
      <c r="I6" s="76">
        <v>66156.13</v>
      </c>
      <c r="J6" s="68">
        <v>43784.28</v>
      </c>
      <c r="K6" s="68">
        <v>38517.32</v>
      </c>
      <c r="L6" s="77">
        <v>72966.320000000007</v>
      </c>
      <c r="M6" s="68">
        <v>205254.82</v>
      </c>
      <c r="N6" s="68">
        <v>272958.34999999998</v>
      </c>
      <c r="O6" s="79">
        <v>332444.84000000003</v>
      </c>
      <c r="P6" s="71">
        <f>SUM(D6:O6)</f>
        <v>2238624.9300000002</v>
      </c>
      <c r="Q6" s="14" t="s">
        <v>19</v>
      </c>
      <c r="S6" s="4"/>
      <c r="T6" s="4">
        <v>0</v>
      </c>
      <c r="U6" s="4">
        <f>U4-U5</f>
        <v>36</v>
      </c>
      <c r="V6" s="43">
        <f>T6+U6</f>
        <v>36</v>
      </c>
    </row>
    <row r="7" spans="1:22" ht="17.25" x14ac:dyDescent="0.25">
      <c r="A7" t="s">
        <v>21</v>
      </c>
      <c r="D7" s="67">
        <f>IF(D5=0,"",D6/D5)</f>
        <v>10.656802421071841</v>
      </c>
      <c r="E7" s="15">
        <f t="shared" ref="E7:O7" si="0">IF(E5=0,"",E6/E5)</f>
        <v>10.664206563272646</v>
      </c>
      <c r="F7" s="15">
        <f t="shared" si="0"/>
        <v>10.652767083545694</v>
      </c>
      <c r="G7" s="15">
        <f t="shared" si="0"/>
        <v>10.695336495888677</v>
      </c>
      <c r="H7" s="15">
        <f t="shared" si="0"/>
        <v>10.707479721425644</v>
      </c>
      <c r="I7" s="15">
        <f t="shared" si="0"/>
        <v>10.75010237244069</v>
      </c>
      <c r="J7" s="15">
        <f t="shared" si="0"/>
        <v>10.74197252208047</v>
      </c>
      <c r="K7" s="15">
        <f t="shared" si="0"/>
        <v>10.768051439753984</v>
      </c>
      <c r="L7" s="15">
        <f t="shared" si="0"/>
        <v>10.754063375092116</v>
      </c>
      <c r="M7" s="15">
        <f t="shared" si="0"/>
        <v>10.708760891114938</v>
      </c>
      <c r="N7" s="15">
        <f t="shared" si="0"/>
        <v>10.705088634402697</v>
      </c>
      <c r="O7" s="16">
        <f t="shared" si="0"/>
        <v>10.713313782991204</v>
      </c>
      <c r="P7" s="49">
        <f>AVERAGE(D7:O7)</f>
        <v>10.709828775256717</v>
      </c>
    </row>
    <row r="8" spans="1:22" ht="17.25" x14ac:dyDescent="0.25">
      <c r="A8" t="s">
        <v>22</v>
      </c>
      <c r="D8" s="15">
        <f>IF(D7="","",0.901*D7)</f>
        <v>9.6017789813857295</v>
      </c>
      <c r="E8" s="15">
        <f t="shared" ref="E8:O8" si="1">IF(E7="","",0.901*E7)</f>
        <v>9.6084501135086544</v>
      </c>
      <c r="F8" s="15">
        <f t="shared" si="1"/>
        <v>9.5981431422746706</v>
      </c>
      <c r="G8" s="15">
        <f t="shared" si="1"/>
        <v>9.6364981827956981</v>
      </c>
      <c r="H8" s="15">
        <f t="shared" si="1"/>
        <v>9.6474392290045046</v>
      </c>
      <c r="I8" s="15">
        <f>IF(I7="","",0.901*I7)</f>
        <v>9.6858422375690623</v>
      </c>
      <c r="J8" s="15">
        <f t="shared" si="1"/>
        <v>9.6785172423945038</v>
      </c>
      <c r="K8" s="15">
        <f t="shared" si="1"/>
        <v>9.7020143472183396</v>
      </c>
      <c r="L8" s="15">
        <f t="shared" si="1"/>
        <v>9.6894111009579973</v>
      </c>
      <c r="M8" s="15">
        <f t="shared" si="1"/>
        <v>9.6485935628945594</v>
      </c>
      <c r="N8" s="15">
        <f t="shared" si="1"/>
        <v>9.6452848595968312</v>
      </c>
      <c r="O8" s="16">
        <f t="shared" si="1"/>
        <v>9.6526957184750746</v>
      </c>
      <c r="P8" s="49">
        <f>AVERAGE(D8:O8)</f>
        <v>9.6495557265063017</v>
      </c>
    </row>
    <row r="9" spans="1:22" ht="17.25" x14ac:dyDescent="0.25">
      <c r="A9" t="s">
        <v>38</v>
      </c>
      <c r="D9" s="15">
        <f t="shared" ref="D9:O9" si="2">IF(D8="","",D8*3.6)</f>
        <v>34.566404332988625</v>
      </c>
      <c r="E9" s="15">
        <f t="shared" si="2"/>
        <v>34.590420408631154</v>
      </c>
      <c r="F9" s="15">
        <f t="shared" si="2"/>
        <v>34.553315312188815</v>
      </c>
      <c r="G9" s="15">
        <f t="shared" si="2"/>
        <v>34.691393458064518</v>
      </c>
      <c r="H9" s="15">
        <f t="shared" si="2"/>
        <v>34.730781224416219</v>
      </c>
      <c r="I9" s="15">
        <f t="shared" si="2"/>
        <v>34.869032055248624</v>
      </c>
      <c r="J9" s="15">
        <f t="shared" si="2"/>
        <v>34.842662072620215</v>
      </c>
      <c r="K9" s="15">
        <f t="shared" si="2"/>
        <v>34.927251649986026</v>
      </c>
      <c r="L9" s="15">
        <f t="shared" si="2"/>
        <v>34.881879963448789</v>
      </c>
      <c r="M9" s="15">
        <f t="shared" si="2"/>
        <v>34.734936826420416</v>
      </c>
      <c r="N9" s="15">
        <f t="shared" si="2"/>
        <v>34.723025494548594</v>
      </c>
      <c r="O9" s="16">
        <f t="shared" si="2"/>
        <v>34.749704586510269</v>
      </c>
      <c r="P9" s="49">
        <f>AVERAGE(D9:O9)</f>
        <v>34.738400615422698</v>
      </c>
    </row>
    <row r="10" spans="1:22" x14ac:dyDescent="0.25">
      <c r="A10" t="s">
        <v>41</v>
      </c>
      <c r="D10" s="61">
        <v>720.7</v>
      </c>
      <c r="E10" s="61">
        <v>532.4</v>
      </c>
      <c r="F10" s="61">
        <v>477.7</v>
      </c>
      <c r="G10" s="61">
        <v>237.1</v>
      </c>
      <c r="H10" s="72">
        <v>137.1</v>
      </c>
      <c r="I10" s="61">
        <v>3.5</v>
      </c>
      <c r="J10" s="61">
        <v>0</v>
      </c>
      <c r="K10" s="61">
        <v>0</v>
      </c>
      <c r="L10" s="61">
        <v>53.4</v>
      </c>
      <c r="M10" s="61">
        <v>379.1</v>
      </c>
      <c r="N10" s="61">
        <v>526.79999999999995</v>
      </c>
      <c r="O10" s="80">
        <v>651.9</v>
      </c>
      <c r="P10" s="56">
        <f>SUM(D10:O10)</f>
        <v>3719.7000000000003</v>
      </c>
    </row>
    <row r="11" spans="1:22" x14ac:dyDescent="0.25">
      <c r="A11" t="s">
        <v>42</v>
      </c>
      <c r="D11" s="61">
        <v>148.5</v>
      </c>
      <c r="E11" s="61">
        <v>141.6</v>
      </c>
      <c r="F11" s="61">
        <v>148.6</v>
      </c>
      <c r="G11" s="61">
        <v>137.1</v>
      </c>
      <c r="H11" s="72">
        <v>138.43</v>
      </c>
      <c r="I11" s="61">
        <v>123.8</v>
      </c>
      <c r="J11" s="61">
        <v>105.7</v>
      </c>
      <c r="K11" s="61">
        <v>94.9</v>
      </c>
      <c r="L11" s="61">
        <v>110.3</v>
      </c>
      <c r="M11" s="72">
        <v>139.63</v>
      </c>
      <c r="N11" s="61">
        <v>137.30000000000001</v>
      </c>
      <c r="O11" s="80">
        <v>159.6</v>
      </c>
      <c r="P11" s="56">
        <f>SUM(D11:O11)</f>
        <v>1585.4599999999998</v>
      </c>
    </row>
    <row r="12" spans="1:22" x14ac:dyDescent="0.25">
      <c r="A12" t="s">
        <v>40</v>
      </c>
      <c r="C12" s="59"/>
      <c r="D12" s="64">
        <f>D10+D11</f>
        <v>869.2</v>
      </c>
      <c r="E12" s="64">
        <f t="shared" ref="E12:F12" si="3">E10+E11</f>
        <v>674</v>
      </c>
      <c r="F12" s="64">
        <f t="shared" si="3"/>
        <v>626.29999999999995</v>
      </c>
      <c r="G12" s="64">
        <f t="shared" ref="G12:O12" si="4">G10+G11</f>
        <v>374.2</v>
      </c>
      <c r="H12" s="64">
        <f t="shared" si="4"/>
        <v>275.52999999999997</v>
      </c>
      <c r="I12" s="64">
        <f t="shared" si="4"/>
        <v>127.3</v>
      </c>
      <c r="J12" s="64">
        <f>J10+J11</f>
        <v>105.7</v>
      </c>
      <c r="K12" s="64">
        <f>K10+K11</f>
        <v>94.9</v>
      </c>
      <c r="L12" s="64">
        <f t="shared" si="4"/>
        <v>163.69999999999999</v>
      </c>
      <c r="M12" s="64">
        <f t="shared" si="4"/>
        <v>518.73</v>
      </c>
      <c r="N12" s="64">
        <f t="shared" si="4"/>
        <v>664.09999999999991</v>
      </c>
      <c r="O12" s="64">
        <f t="shared" si="4"/>
        <v>811.5</v>
      </c>
      <c r="P12" s="51">
        <f>SUM(D12:O12)</f>
        <v>5305.16</v>
      </c>
    </row>
    <row r="13" spans="1:22" x14ac:dyDescent="0.25">
      <c r="C13" s="59"/>
      <c r="D13" s="6"/>
      <c r="E13" s="2"/>
      <c r="F13" s="2"/>
      <c r="G13" s="2"/>
      <c r="H13" s="2"/>
      <c r="I13" s="2"/>
      <c r="J13" s="2"/>
      <c r="K13" s="2"/>
      <c r="L13" s="2"/>
      <c r="M13" s="2"/>
      <c r="N13" s="2"/>
      <c r="O13" s="54"/>
      <c r="P13" s="53"/>
    </row>
    <row r="14" spans="1:22" s="40" customFormat="1" ht="18" x14ac:dyDescent="0.25">
      <c r="A14" s="39"/>
      <c r="B14" s="39"/>
      <c r="C14" s="39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1"/>
      <c r="P14" s="10"/>
      <c r="R14" s="10" t="s">
        <v>23</v>
      </c>
      <c r="S14" s="10" t="s">
        <v>24</v>
      </c>
      <c r="T14"/>
    </row>
    <row r="15" spans="1:22" x14ac:dyDescent="0.25">
      <c r="A15" s="83" t="s">
        <v>3</v>
      </c>
      <c r="B15" s="85" t="s">
        <v>25</v>
      </c>
      <c r="C15" s="3" t="s">
        <v>26</v>
      </c>
      <c r="D15" s="60">
        <v>213.5</v>
      </c>
      <c r="E15" s="60">
        <v>222.7</v>
      </c>
      <c r="F15" s="60">
        <v>219.5</v>
      </c>
      <c r="G15" s="60">
        <v>194.6</v>
      </c>
      <c r="H15" s="68">
        <v>145.91</v>
      </c>
      <c r="I15" s="66">
        <v>80.099999999999994</v>
      </c>
      <c r="J15" s="60">
        <v>4.9000000000000004</v>
      </c>
      <c r="K15" s="12">
        <v>0</v>
      </c>
      <c r="L15" s="60">
        <v>49.1</v>
      </c>
      <c r="M15" s="60">
        <v>116.35</v>
      </c>
      <c r="N15" s="60">
        <v>191.9</v>
      </c>
      <c r="O15" s="78">
        <v>244.6</v>
      </c>
      <c r="P15" s="56">
        <f>SUM(D15:O15)</f>
        <v>1683.1599999999999</v>
      </c>
      <c r="R15" s="18">
        <f>(3.6*P17/1000)/(P15+3.6*P17/1000)</f>
        <v>0.34130527343994593</v>
      </c>
      <c r="S15" s="18">
        <f>P15/(P15+3.6*P17/1000)</f>
        <v>0.65869472656005412</v>
      </c>
      <c r="T15" s="19" t="s">
        <v>27</v>
      </c>
    </row>
    <row r="16" spans="1:22" x14ac:dyDescent="0.25">
      <c r="A16" s="83"/>
      <c r="B16" s="85"/>
      <c r="C16" s="3" t="s">
        <v>28</v>
      </c>
      <c r="D16" s="4">
        <f t="shared" ref="D16:O16" si="5">D15/3.6*1000</f>
        <v>59305.555555555555</v>
      </c>
      <c r="E16" s="4">
        <f t="shared" si="5"/>
        <v>61861.111111111109</v>
      </c>
      <c r="F16" s="4">
        <f t="shared" si="5"/>
        <v>60972.222222222219</v>
      </c>
      <c r="G16" s="4">
        <f t="shared" si="5"/>
        <v>54055.555555555547</v>
      </c>
      <c r="H16" s="4">
        <f t="shared" si="5"/>
        <v>40530.555555555555</v>
      </c>
      <c r="I16" s="4">
        <f t="shared" si="5"/>
        <v>22249.999999999996</v>
      </c>
      <c r="J16" s="4">
        <f t="shared" si="5"/>
        <v>1361.1111111111111</v>
      </c>
      <c r="K16" s="4">
        <f t="shared" si="5"/>
        <v>0</v>
      </c>
      <c r="L16" s="4">
        <f t="shared" si="5"/>
        <v>13638.888888888889</v>
      </c>
      <c r="M16" s="4">
        <f t="shared" si="5"/>
        <v>32319.444444444442</v>
      </c>
      <c r="N16" s="4">
        <f t="shared" si="5"/>
        <v>53305.555555555555</v>
      </c>
      <c r="O16" s="20">
        <f t="shared" si="5"/>
        <v>67944.444444444438</v>
      </c>
      <c r="P16" s="50">
        <f t="shared" ref="P16" si="6">SUM(D16:O16)</f>
        <v>467544.44444444444</v>
      </c>
      <c r="R16" s="44"/>
    </row>
    <row r="17" spans="1:19" x14ac:dyDescent="0.25">
      <c r="A17" s="83"/>
      <c r="B17" s="85"/>
      <c r="C17" s="3" t="s">
        <v>29</v>
      </c>
      <c r="D17" s="12">
        <v>32121</v>
      </c>
      <c r="E17" s="12">
        <v>33597</v>
      </c>
      <c r="F17" s="12">
        <v>35613</v>
      </c>
      <c r="G17" s="12">
        <v>23404</v>
      </c>
      <c r="H17" s="12">
        <v>19253</v>
      </c>
      <c r="I17" s="12">
        <v>9211</v>
      </c>
      <c r="J17" s="12">
        <v>580</v>
      </c>
      <c r="K17" s="12">
        <v>0</v>
      </c>
      <c r="L17" s="12">
        <v>6947</v>
      </c>
      <c r="M17" s="12">
        <v>17297</v>
      </c>
      <c r="N17" s="12">
        <v>28200</v>
      </c>
      <c r="O17" s="13">
        <v>36037</v>
      </c>
      <c r="P17" s="56">
        <f>SUM(D17:O17)</f>
        <v>242260</v>
      </c>
      <c r="R17" s="45"/>
    </row>
    <row r="18" spans="1:19" x14ac:dyDescent="0.25">
      <c r="A18" s="83"/>
      <c r="B18" s="86"/>
      <c r="C18" s="21" t="s">
        <v>30</v>
      </c>
      <c r="D18" s="22">
        <f>D16+D17</f>
        <v>91426.555555555562</v>
      </c>
      <c r="E18" s="22">
        <f t="shared" ref="E18:F18" si="7">E16+E17</f>
        <v>95458.111111111109</v>
      </c>
      <c r="F18" s="22">
        <f t="shared" si="7"/>
        <v>96585.222222222219</v>
      </c>
      <c r="G18" s="22">
        <f t="shared" ref="G18:O18" si="8">G16+G17</f>
        <v>77459.555555555547</v>
      </c>
      <c r="H18" s="22">
        <f t="shared" si="8"/>
        <v>59783.555555555555</v>
      </c>
      <c r="I18" s="22">
        <f>I16+I17</f>
        <v>31460.999999999996</v>
      </c>
      <c r="J18" s="22">
        <f t="shared" si="8"/>
        <v>1941.1111111111111</v>
      </c>
      <c r="K18" s="22">
        <f t="shared" si="8"/>
        <v>0</v>
      </c>
      <c r="L18" s="22">
        <f t="shared" si="8"/>
        <v>20585.888888888891</v>
      </c>
      <c r="M18" s="22">
        <f t="shared" si="8"/>
        <v>49616.444444444438</v>
      </c>
      <c r="N18" s="22">
        <f t="shared" si="8"/>
        <v>81505.555555555562</v>
      </c>
      <c r="O18" s="23">
        <f t="shared" si="8"/>
        <v>103981.44444444444</v>
      </c>
      <c r="P18" s="22">
        <f>P16+P17</f>
        <v>709804.4444444445</v>
      </c>
    </row>
    <row r="19" spans="1:19" ht="17.25" x14ac:dyDescent="0.25">
      <c r="A19" s="83"/>
      <c r="B19" s="87" t="s">
        <v>31</v>
      </c>
      <c r="C19" s="3" t="s">
        <v>32</v>
      </c>
      <c r="D19" s="12">
        <v>11489</v>
      </c>
      <c r="E19" s="12">
        <v>11976</v>
      </c>
      <c r="F19" s="12">
        <v>12842</v>
      </c>
      <c r="G19" s="12">
        <v>8845</v>
      </c>
      <c r="H19" s="12">
        <v>7480</v>
      </c>
      <c r="I19" s="12">
        <v>3947</v>
      </c>
      <c r="J19" s="12">
        <v>209</v>
      </c>
      <c r="K19" s="12">
        <v>0</v>
      </c>
      <c r="L19" s="32">
        <v>2570</v>
      </c>
      <c r="M19" s="12">
        <v>6171</v>
      </c>
      <c r="N19" s="12">
        <v>10091</v>
      </c>
      <c r="O19" s="38">
        <v>12774</v>
      </c>
      <c r="P19" s="56">
        <f>SUM(D19:O19)</f>
        <v>88394</v>
      </c>
      <c r="Q19" s="14" t="s">
        <v>19</v>
      </c>
    </row>
    <row r="20" spans="1:19" x14ac:dyDescent="0.25">
      <c r="A20" s="83"/>
      <c r="B20" s="85"/>
      <c r="C20" s="3" t="s">
        <v>33</v>
      </c>
      <c r="D20" s="4">
        <f t="shared" ref="D20:P20" si="9">IF(D8="","",D19*D$8)</f>
        <v>110314.83871714065</v>
      </c>
      <c r="E20" s="4">
        <f t="shared" si="9"/>
        <v>115070.79855937965</v>
      </c>
      <c r="F20" s="4">
        <f t="shared" si="9"/>
        <v>123259.35423309132</v>
      </c>
      <c r="G20" s="4">
        <f t="shared" si="9"/>
        <v>85234.826426827945</v>
      </c>
      <c r="H20" s="4">
        <f t="shared" si="9"/>
        <v>72162.845432953691</v>
      </c>
      <c r="I20" s="4">
        <f t="shared" si="9"/>
        <v>38230.019311685086</v>
      </c>
      <c r="J20" s="4">
        <f t="shared" si="9"/>
        <v>2022.8101036604512</v>
      </c>
      <c r="K20" s="4">
        <f>IF(K8="","",K19*K$8)</f>
        <v>0</v>
      </c>
      <c r="L20" s="4">
        <f t="shared" si="9"/>
        <v>24901.786529462053</v>
      </c>
      <c r="M20" s="4">
        <f t="shared" si="9"/>
        <v>59541.470876622327</v>
      </c>
      <c r="N20" s="4">
        <f t="shared" si="9"/>
        <v>97330.569518191624</v>
      </c>
      <c r="O20" s="57">
        <f t="shared" si="9"/>
        <v>123303.53510780061</v>
      </c>
      <c r="P20" s="4">
        <f t="shared" si="9"/>
        <v>852962.82888879802</v>
      </c>
      <c r="Q20" s="24" t="s">
        <v>34</v>
      </c>
      <c r="R20" s="4"/>
    </row>
    <row r="21" spans="1:19" x14ac:dyDescent="0.25">
      <c r="A21" s="83"/>
      <c r="B21" s="25" t="s">
        <v>35</v>
      </c>
      <c r="C21" s="3"/>
      <c r="D21" s="26">
        <f t="shared" ref="D21:O21" si="10">IF(D20="",0,D18/D20)</f>
        <v>0.82877840024752503</v>
      </c>
      <c r="E21" s="26">
        <f t="shared" si="10"/>
        <v>0.82955982148548435</v>
      </c>
      <c r="F21" s="26">
        <f t="shared" si="10"/>
        <v>0.78359344670566256</v>
      </c>
      <c r="G21" s="26">
        <f t="shared" si="10"/>
        <v>0.9087782401018053</v>
      </c>
      <c r="H21" s="26">
        <f t="shared" si="10"/>
        <v>0.82845341251268012</v>
      </c>
      <c r="I21" s="26">
        <f t="shared" si="10"/>
        <v>0.82293968369468951</v>
      </c>
      <c r="J21" s="26">
        <f t="shared" si="10"/>
        <v>0.95961114075834475</v>
      </c>
      <c r="K21" s="26">
        <v>0</v>
      </c>
      <c r="L21" s="26">
        <f t="shared" si="10"/>
        <v>0.82668321264954647</v>
      </c>
      <c r="M21" s="26">
        <f t="shared" si="10"/>
        <v>0.83330901494281462</v>
      </c>
      <c r="N21" s="26">
        <f t="shared" si="10"/>
        <v>0.83740962329745461</v>
      </c>
      <c r="O21" s="58">
        <f t="shared" si="10"/>
        <v>0.84329653933714521</v>
      </c>
      <c r="P21" s="26">
        <f>IF(P20=0,0,P18/P20)</f>
        <v>0.83216339611087875</v>
      </c>
    </row>
    <row r="22" spans="1:19" ht="15.75" thickBot="1" x14ac:dyDescent="0.3">
      <c r="A22" s="84"/>
      <c r="B22" s="28" t="s">
        <v>36</v>
      </c>
      <c r="C22" s="29"/>
      <c r="D22" s="30">
        <v>330</v>
      </c>
      <c r="E22" s="30">
        <v>348</v>
      </c>
      <c r="F22" s="30">
        <v>365</v>
      </c>
      <c r="G22" s="30">
        <v>297</v>
      </c>
      <c r="H22" s="30">
        <v>262</v>
      </c>
      <c r="I22" s="30">
        <v>173</v>
      </c>
      <c r="J22" s="30">
        <v>7.2</v>
      </c>
      <c r="K22" s="30">
        <v>0</v>
      </c>
      <c r="L22" s="30">
        <v>84</v>
      </c>
      <c r="M22" s="30">
        <v>183</v>
      </c>
      <c r="N22" s="30">
        <v>284.5</v>
      </c>
      <c r="O22" s="31">
        <v>360</v>
      </c>
      <c r="P22" s="56">
        <f>SUM(D22:O22)</f>
        <v>2693.7</v>
      </c>
      <c r="Q22" s="4"/>
      <c r="S22" t="s">
        <v>37</v>
      </c>
    </row>
    <row r="23" spans="1:19" x14ac:dyDescent="0.25">
      <c r="A23" s="83" t="s">
        <v>1</v>
      </c>
      <c r="B23" s="85"/>
      <c r="C23" s="3" t="s">
        <v>39</v>
      </c>
      <c r="D23" s="34">
        <v>0</v>
      </c>
      <c r="E23" s="34">
        <v>0</v>
      </c>
      <c r="F23" s="34">
        <v>0</v>
      </c>
      <c r="G23" s="34">
        <v>0</v>
      </c>
      <c r="H23" s="34">
        <v>0</v>
      </c>
      <c r="I23" s="34">
        <v>0</v>
      </c>
      <c r="J23" s="34">
        <v>0</v>
      </c>
      <c r="K23" s="34">
        <v>0</v>
      </c>
      <c r="L23" s="34">
        <v>0</v>
      </c>
      <c r="M23" s="34">
        <v>0</v>
      </c>
      <c r="N23" s="34">
        <v>0</v>
      </c>
      <c r="O23" s="70">
        <v>0</v>
      </c>
      <c r="P23" s="69">
        <f>SUM(D23:O23)</f>
        <v>0</v>
      </c>
      <c r="Q23" s="14"/>
    </row>
    <row r="24" spans="1:19" x14ac:dyDescent="0.25">
      <c r="A24" s="83"/>
      <c r="B24" s="86"/>
      <c r="C24" s="21" t="s">
        <v>28</v>
      </c>
      <c r="D24" s="33">
        <v>0</v>
      </c>
      <c r="E24" s="33">
        <f t="shared" ref="E24" si="11">E23/3.6*1000</f>
        <v>0</v>
      </c>
      <c r="F24" s="33">
        <v>0</v>
      </c>
      <c r="G24" s="33">
        <v>0</v>
      </c>
      <c r="H24" s="33">
        <v>0</v>
      </c>
      <c r="I24" s="22">
        <v>0</v>
      </c>
      <c r="J24" s="22">
        <v>0</v>
      </c>
      <c r="K24" s="22">
        <v>0</v>
      </c>
      <c r="L24" s="22">
        <v>0</v>
      </c>
      <c r="M24" s="22">
        <v>0</v>
      </c>
      <c r="N24" s="22">
        <v>0</v>
      </c>
      <c r="O24" s="23">
        <v>0</v>
      </c>
      <c r="P24" s="22">
        <f t="shared" ref="P24:P26" si="12">SUM(D24:O24)</f>
        <v>0</v>
      </c>
      <c r="Q24" s="24" t="s">
        <v>34</v>
      </c>
    </row>
    <row r="25" spans="1:19" ht="17.25" x14ac:dyDescent="0.25">
      <c r="A25" s="83"/>
      <c r="B25" s="87" t="s">
        <v>31</v>
      </c>
      <c r="C25" s="3" t="s">
        <v>32</v>
      </c>
      <c r="D25" s="32">
        <v>0</v>
      </c>
      <c r="E25" s="32">
        <v>0</v>
      </c>
      <c r="F25" s="32">
        <v>0</v>
      </c>
      <c r="G25" s="32">
        <v>0</v>
      </c>
      <c r="H25" s="32">
        <v>0</v>
      </c>
      <c r="I25" s="32">
        <v>0</v>
      </c>
      <c r="J25" s="32">
        <v>0</v>
      </c>
      <c r="K25" s="32">
        <v>0</v>
      </c>
      <c r="L25" s="32">
        <v>0</v>
      </c>
      <c r="M25" s="12">
        <v>0</v>
      </c>
      <c r="N25" s="12">
        <v>0</v>
      </c>
      <c r="O25" s="38">
        <v>0</v>
      </c>
      <c r="P25" s="12">
        <f>SUM(D25:O25)</f>
        <v>0</v>
      </c>
    </row>
    <row r="26" spans="1:19" x14ac:dyDescent="0.25">
      <c r="A26" s="83"/>
      <c r="B26" s="86"/>
      <c r="C26" s="52" t="s">
        <v>33</v>
      </c>
      <c r="D26" s="22">
        <v>0</v>
      </c>
      <c r="E26" s="22">
        <v>0</v>
      </c>
      <c r="F26" s="22">
        <f t="shared" ref="F26:G26" si="13">IF(F8="","",F25*F$8)</f>
        <v>0</v>
      </c>
      <c r="G26" s="22">
        <f t="shared" si="13"/>
        <v>0</v>
      </c>
      <c r="H26" s="22">
        <v>0</v>
      </c>
      <c r="I26" s="22">
        <v>0</v>
      </c>
      <c r="J26" s="33">
        <f t="shared" ref="J26" si="14">IF(J7="",0,J25*J$8)</f>
        <v>0</v>
      </c>
      <c r="K26" s="22">
        <v>0</v>
      </c>
      <c r="L26" s="22">
        <v>0</v>
      </c>
      <c r="M26" s="22">
        <v>0</v>
      </c>
      <c r="N26" s="22">
        <v>0</v>
      </c>
      <c r="O26" s="23">
        <v>0</v>
      </c>
      <c r="P26" s="22">
        <f t="shared" si="12"/>
        <v>0</v>
      </c>
    </row>
    <row r="27" spans="1:19" x14ac:dyDescent="0.25">
      <c r="A27" s="83"/>
      <c r="B27" s="35" t="s">
        <v>35</v>
      </c>
      <c r="C27" s="3"/>
      <c r="D27" s="26">
        <v>0</v>
      </c>
      <c r="E27" s="26">
        <v>0</v>
      </c>
      <c r="F27" s="26">
        <v>0</v>
      </c>
      <c r="G27" s="26">
        <v>0</v>
      </c>
      <c r="H27" s="26">
        <v>0</v>
      </c>
      <c r="I27" s="26">
        <v>0</v>
      </c>
      <c r="J27" s="26">
        <v>0</v>
      </c>
      <c r="K27" s="26">
        <v>0</v>
      </c>
      <c r="L27" s="26">
        <v>0</v>
      </c>
      <c r="M27" s="26">
        <v>0</v>
      </c>
      <c r="N27" s="26">
        <v>0</v>
      </c>
      <c r="O27" s="27">
        <v>0</v>
      </c>
      <c r="P27" s="26">
        <v>0</v>
      </c>
    </row>
    <row r="28" spans="1:19" ht="15.75" thickBot="1" x14ac:dyDescent="0.3">
      <c r="A28" s="84"/>
      <c r="B28" s="28" t="s">
        <v>36</v>
      </c>
      <c r="C28" s="36"/>
      <c r="D28" s="37">
        <v>0</v>
      </c>
      <c r="E28" s="37">
        <v>0</v>
      </c>
      <c r="F28" s="37">
        <v>0</v>
      </c>
      <c r="G28" s="37">
        <v>0</v>
      </c>
      <c r="H28" s="37">
        <v>0</v>
      </c>
      <c r="I28" s="37">
        <v>0</v>
      </c>
      <c r="J28" s="37">
        <v>0</v>
      </c>
      <c r="K28" s="37">
        <v>0</v>
      </c>
      <c r="L28" s="30">
        <v>0</v>
      </c>
      <c r="M28" s="30">
        <v>0</v>
      </c>
      <c r="N28" s="30">
        <v>0</v>
      </c>
      <c r="O28" s="31">
        <v>0</v>
      </c>
      <c r="P28" s="55">
        <f>SUM(D28:O28)</f>
        <v>0</v>
      </c>
      <c r="Q28" s="4"/>
      <c r="S28" t="s">
        <v>37</v>
      </c>
    </row>
    <row r="29" spans="1:19" x14ac:dyDescent="0.25">
      <c r="A29" s="83" t="s">
        <v>2</v>
      </c>
      <c r="B29" s="85"/>
      <c r="C29" s="3" t="s">
        <v>39</v>
      </c>
      <c r="D29" s="63">
        <f t="shared" ref="D29:O29" si="15">D12-D15</f>
        <v>655.7</v>
      </c>
      <c r="E29" s="63">
        <f t="shared" si="15"/>
        <v>451.3</v>
      </c>
      <c r="F29" s="63">
        <f t="shared" si="15"/>
        <v>406.79999999999995</v>
      </c>
      <c r="G29" s="63">
        <f t="shared" si="15"/>
        <v>179.6</v>
      </c>
      <c r="H29" s="74">
        <f t="shared" si="15"/>
        <v>129.61999999999998</v>
      </c>
      <c r="I29" s="63">
        <v>47.2</v>
      </c>
      <c r="J29" s="63">
        <f t="shared" si="15"/>
        <v>100.8</v>
      </c>
      <c r="K29" s="63">
        <f t="shared" si="15"/>
        <v>94.9</v>
      </c>
      <c r="L29" s="63">
        <f t="shared" si="15"/>
        <v>114.6</v>
      </c>
      <c r="M29" s="63">
        <v>402.3</v>
      </c>
      <c r="N29" s="63">
        <f t="shared" si="15"/>
        <v>472.19999999999993</v>
      </c>
      <c r="O29" s="81">
        <f t="shared" si="15"/>
        <v>566.9</v>
      </c>
      <c r="P29" s="34">
        <f>SUM(D29:O29)</f>
        <v>3621.9199999999996</v>
      </c>
      <c r="Q29" s="14"/>
    </row>
    <row r="30" spans="1:19" x14ac:dyDescent="0.25">
      <c r="A30" s="83"/>
      <c r="B30" s="86"/>
      <c r="C30" s="21" t="s">
        <v>28</v>
      </c>
      <c r="D30" s="22">
        <f t="shared" ref="D30:I30" si="16">D29/3.6*1000</f>
        <v>182138.88888888888</v>
      </c>
      <c r="E30" s="22">
        <f t="shared" si="16"/>
        <v>125361.11111111111</v>
      </c>
      <c r="F30" s="22">
        <f t="shared" si="16"/>
        <v>112999.99999999999</v>
      </c>
      <c r="G30" s="22">
        <f t="shared" si="16"/>
        <v>49888.888888888883</v>
      </c>
      <c r="H30" s="22">
        <f t="shared" si="16"/>
        <v>36005.555555555547</v>
      </c>
      <c r="I30" s="22">
        <f t="shared" si="16"/>
        <v>13111.111111111111</v>
      </c>
      <c r="J30" s="22">
        <f t="shared" ref="J30:O30" si="17">J29/3.6*1000</f>
        <v>28000</v>
      </c>
      <c r="K30" s="22">
        <f t="shared" si="17"/>
        <v>26361.111111111109</v>
      </c>
      <c r="L30" s="22">
        <f t="shared" si="17"/>
        <v>31833.333333333332</v>
      </c>
      <c r="M30" s="22">
        <f t="shared" si="17"/>
        <v>111750</v>
      </c>
      <c r="N30" s="22">
        <f t="shared" si="17"/>
        <v>131166.66666666666</v>
      </c>
      <c r="O30" s="23">
        <f t="shared" si="17"/>
        <v>157472.22222222219</v>
      </c>
      <c r="P30" s="22">
        <f t="shared" ref="P30" si="18">SUM(D30:O30)</f>
        <v>1006088.8888888888</v>
      </c>
      <c r="Q30" s="24" t="s">
        <v>34</v>
      </c>
    </row>
    <row r="31" spans="1:19" ht="17.25" x14ac:dyDescent="0.25">
      <c r="A31" s="83"/>
      <c r="B31" s="87" t="s">
        <v>31</v>
      </c>
      <c r="C31" s="3" t="s">
        <v>32</v>
      </c>
      <c r="D31" s="32">
        <v>21389</v>
      </c>
      <c r="E31" s="32">
        <v>14718</v>
      </c>
      <c r="F31" s="32">
        <v>12665</v>
      </c>
      <c r="G31" s="32">
        <v>6965</v>
      </c>
      <c r="H31" s="32">
        <v>4725</v>
      </c>
      <c r="I31" s="32">
        <v>2207</v>
      </c>
      <c r="J31" s="32">
        <v>4071</v>
      </c>
      <c r="K31" s="32">
        <v>3577</v>
      </c>
      <c r="L31" s="32">
        <v>4215</v>
      </c>
      <c r="M31" s="32">
        <v>12996</v>
      </c>
      <c r="N31" s="32">
        <v>15407</v>
      </c>
      <c r="O31" s="46">
        <v>18257</v>
      </c>
      <c r="P31" s="32">
        <f>SUM(D31:O31)</f>
        <v>121192</v>
      </c>
    </row>
    <row r="32" spans="1:19" x14ac:dyDescent="0.25">
      <c r="A32" s="83"/>
      <c r="B32" s="86"/>
      <c r="C32" s="52" t="s">
        <v>33</v>
      </c>
      <c r="D32" s="22">
        <f t="shared" ref="D32:L32" si="19">IF(D15="","",D31*D$8)</f>
        <v>205372.45063285937</v>
      </c>
      <c r="E32" s="22">
        <f t="shared" si="19"/>
        <v>141417.16877062037</v>
      </c>
      <c r="F32" s="22">
        <f t="shared" si="19"/>
        <v>121560.4828969087</v>
      </c>
      <c r="G32" s="22">
        <f t="shared" si="19"/>
        <v>67118.209843172037</v>
      </c>
      <c r="H32" s="22">
        <f t="shared" si="19"/>
        <v>45584.150357046281</v>
      </c>
      <c r="I32" s="22">
        <f t="shared" si="19"/>
        <v>21376.65381831492</v>
      </c>
      <c r="J32" s="22">
        <f t="shared" si="19"/>
        <v>39401.243693788027</v>
      </c>
      <c r="K32" s="22">
        <f t="shared" si="19"/>
        <v>34704.105320000002</v>
      </c>
      <c r="L32" s="22">
        <f t="shared" si="19"/>
        <v>40840.867790537959</v>
      </c>
      <c r="M32" s="22">
        <f t="shared" ref="M32:O32" si="20">IF(M15="","",M31*M$8)</f>
        <v>125393.1219433777</v>
      </c>
      <c r="N32" s="22">
        <f t="shared" si="20"/>
        <v>148604.90383180839</v>
      </c>
      <c r="O32" s="23">
        <f t="shared" si="20"/>
        <v>176229.26573219945</v>
      </c>
      <c r="P32" s="33">
        <f>SUM(D32:O32)</f>
        <v>1167602.6246306333</v>
      </c>
    </row>
    <row r="33" spans="1:19" x14ac:dyDescent="0.25">
      <c r="A33" s="83"/>
      <c r="B33" s="35" t="s">
        <v>35</v>
      </c>
      <c r="C33" s="3"/>
      <c r="D33" s="26">
        <f t="shared" ref="D33:K33" si="21">IF(D32="",0,D30/D32)</f>
        <v>0.88687108873475584</v>
      </c>
      <c r="E33" s="26">
        <f t="shared" si="21"/>
        <v>0.8864631656885148</v>
      </c>
      <c r="F33" s="26">
        <f t="shared" si="21"/>
        <v>0.92957840662603686</v>
      </c>
      <c r="G33" s="26">
        <f t="shared" si="21"/>
        <v>0.74329886040552828</v>
      </c>
      <c r="H33" s="26">
        <f t="shared" si="21"/>
        <v>0.78987005951707734</v>
      </c>
      <c r="I33" s="26">
        <f t="shared" si="21"/>
        <v>0.61333786019764591</v>
      </c>
      <c r="J33" s="26">
        <f t="shared" si="21"/>
        <v>0.71063746661414295</v>
      </c>
      <c r="K33" s="26">
        <f t="shared" si="21"/>
        <v>0.75959633213535638</v>
      </c>
      <c r="L33" s="26">
        <f t="shared" ref="L33:O33" si="22">IF(L32="",0,L30/L32)</f>
        <v>0.77944801507642059</v>
      </c>
      <c r="M33" s="26">
        <f t="shared" si="22"/>
        <v>0.89119720657773904</v>
      </c>
      <c r="N33" s="26">
        <f t="shared" si="22"/>
        <v>0.88265368964621516</v>
      </c>
      <c r="O33" s="27">
        <f t="shared" si="22"/>
        <v>0.89356453690001336</v>
      </c>
      <c r="P33" s="26">
        <f>P30/P32</f>
        <v>0.86167062977197506</v>
      </c>
    </row>
    <row r="34" spans="1:19" ht="15.75" thickBot="1" x14ac:dyDescent="0.3">
      <c r="A34" s="84"/>
      <c r="B34" s="28" t="s">
        <v>36</v>
      </c>
      <c r="C34" s="36"/>
      <c r="D34" s="65">
        <v>459.2</v>
      </c>
      <c r="E34" s="65">
        <v>423.6</v>
      </c>
      <c r="F34" s="65">
        <v>374.5</v>
      </c>
      <c r="G34" s="65">
        <v>123.1</v>
      </c>
      <c r="H34" s="65">
        <v>132.5</v>
      </c>
      <c r="I34" s="65">
        <v>48.9</v>
      </c>
      <c r="J34" s="65">
        <v>12.6</v>
      </c>
      <c r="K34" s="65">
        <v>87.5</v>
      </c>
      <c r="L34" s="75">
        <v>141.6</v>
      </c>
      <c r="M34" s="65">
        <v>386.1</v>
      </c>
      <c r="N34" s="65">
        <v>388.6</v>
      </c>
      <c r="O34" s="82">
        <v>469.5</v>
      </c>
      <c r="P34" s="37">
        <f>SUM(D34:O34)</f>
        <v>3047.7</v>
      </c>
      <c r="Q34" s="4"/>
      <c r="S34" t="s">
        <v>37</v>
      </c>
    </row>
    <row r="36" spans="1:19" x14ac:dyDescent="0.25">
      <c r="A36" s="9"/>
      <c r="B36" s="9"/>
      <c r="F36" s="62"/>
      <c r="G36" s="43"/>
      <c r="H36" s="4"/>
      <c r="I36" s="4"/>
    </row>
    <row r="37" spans="1:19" x14ac:dyDescent="0.25">
      <c r="E37" s="43"/>
      <c r="G37" s="43"/>
      <c r="H37" s="43"/>
    </row>
    <row r="38" spans="1:19" x14ac:dyDescent="0.25">
      <c r="E38" s="62"/>
      <c r="G38" s="4"/>
      <c r="H38" s="4"/>
    </row>
    <row r="39" spans="1:19" x14ac:dyDescent="0.25">
      <c r="G39" s="4"/>
    </row>
  </sheetData>
  <mergeCells count="9">
    <mergeCell ref="A29:A34"/>
    <mergeCell ref="B29:B30"/>
    <mergeCell ref="B31:B32"/>
    <mergeCell ref="A15:A22"/>
    <mergeCell ref="A23:A28"/>
    <mergeCell ref="B15:B18"/>
    <mergeCell ref="B19:B20"/>
    <mergeCell ref="B23:B24"/>
    <mergeCell ref="B25:B26"/>
  </mergeCells>
  <pageMargins left="0.70866141732283472" right="0.70866141732283472" top="0.78740157480314965" bottom="0.78740157480314965" header="0.31496062992125984" footer="0.31496062992125984"/>
  <pageSetup paperSize="9" scale="54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PBZ 2020 VM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František Eichler</dc:creator>
  <cp:lastModifiedBy>Jiří Malý</cp:lastModifiedBy>
  <cp:lastPrinted>2019-03-15T09:31:44Z</cp:lastPrinted>
  <dcterms:created xsi:type="dcterms:W3CDTF">2019-03-14T12:34:45Z</dcterms:created>
  <dcterms:modified xsi:type="dcterms:W3CDTF">2023-01-31T10:07:41Z</dcterms:modified>
</cp:coreProperties>
</file>